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75" windowWidth="15255" windowHeight="6165" tabRatio="862" activeTab="1"/>
  </bookViews>
  <sheets>
    <sheet name="Important General Notice" sheetId="13" r:id="rId1"/>
    <sheet name="1. KEY DATA" sheetId="4" r:id="rId2"/>
    <sheet name="2. AWARDS" sheetId="16" r:id="rId3"/>
    <sheet name="3. Payroll" sheetId="1" r:id="rId4"/>
    <sheet name="4. Property" sheetId="6" r:id="rId5"/>
    <sheet name="5. Transport" sheetId="2" r:id="rId6"/>
    <sheet name="6. Direct OH" sheetId="8" r:id="rId7"/>
    <sheet name="7. Admin OH" sheetId="3" r:id="rId8"/>
    <sheet name="8. PROGRAM PRICING" sheetId="5" r:id="rId9"/>
    <sheet name="9. Accomm" sheetId="9" r:id="rId10"/>
    <sheet name="10. Health Professionals" sheetId="11" r:id="rId11"/>
    <sheet name="11. CLIENT PRICING SUMMARY" sheetId="12" r:id="rId12"/>
    <sheet name="12. Commercial &amp; Fundraising" sheetId="10" r:id="rId13"/>
  </sheets>
  <definedNames>
    <definedName name="_Toc323471029" localSheetId="0">'Important General Notice'!$A$19</definedName>
    <definedName name="Accounttypes">#REF!</definedName>
    <definedName name="Allocationtypes">#REF!</definedName>
    <definedName name="OLE_LINK1" localSheetId="3">'3. Payroll'!#REF!</definedName>
    <definedName name="_xlnm.Print_Area" localSheetId="12">'12. Commercial &amp; Fundraising'!$A$1:$E$42</definedName>
    <definedName name="_xlnm.Print_Area" localSheetId="3">'3. Payroll'!$A$1:$AW$10</definedName>
    <definedName name="_xlnm.Print_Area" localSheetId="8">'8. PROGRAM PRICING'!$A$1:$P$65</definedName>
    <definedName name="_xlnm.Print_Area" localSheetId="9">'9. Accomm'!$A$1:$AW$9</definedName>
    <definedName name="Programtypes">#REF!</definedName>
  </definedNames>
  <calcPr calcId="125725"/>
</workbook>
</file>

<file path=xl/calcChain.xml><?xml version="1.0" encoding="utf-8"?>
<calcChain xmlns="http://schemas.openxmlformats.org/spreadsheetml/2006/main">
  <c r="R16" i="1"/>
  <c r="X28"/>
  <c r="K32" i="16"/>
  <c r="A15" i="1"/>
  <c r="P15"/>
  <c r="P16" s="1"/>
  <c r="P17" s="1"/>
  <c r="P18" s="1"/>
  <c r="P19" s="1"/>
  <c r="P20" s="1"/>
  <c r="D14"/>
  <c r="D15" s="1"/>
  <c r="D16" s="1"/>
  <c r="D17" s="1"/>
  <c r="D18" s="1"/>
  <c r="D19" s="1"/>
  <c r="D20" s="1"/>
  <c r="D21" s="1"/>
  <c r="D12"/>
  <c r="BM14"/>
  <c r="AU14"/>
  <c r="AT14"/>
  <c r="AR14"/>
  <c r="Y14"/>
  <c r="X14"/>
  <c r="Z14" s="1"/>
  <c r="W14"/>
  <c r="R14"/>
  <c r="A14"/>
  <c r="Y19"/>
  <c r="Y18"/>
  <c r="Y17"/>
  <c r="Y16"/>
  <c r="Y15"/>
  <c r="K16" i="16"/>
  <c r="Y21" i="1"/>
  <c r="R15"/>
  <c r="R17"/>
  <c r="X18"/>
  <c r="X17"/>
  <c r="X16"/>
  <c r="X15"/>
  <c r="BM41"/>
  <c r="AW41"/>
  <c r="AU41"/>
  <c r="AT41"/>
  <c r="AR41"/>
  <c r="AQ41"/>
  <c r="AP41"/>
  <c r="AO41"/>
  <c r="AF41"/>
  <c r="Y41"/>
  <c r="X41"/>
  <c r="W41"/>
  <c r="R41"/>
  <c r="BM40"/>
  <c r="AW40"/>
  <c r="AU40"/>
  <c r="AT40"/>
  <c r="AR40"/>
  <c r="AQ40"/>
  <c r="AP40"/>
  <c r="AO40"/>
  <c r="AF40"/>
  <c r="Y40"/>
  <c r="X40"/>
  <c r="W40"/>
  <c r="R40"/>
  <c r="BM39"/>
  <c r="AW39"/>
  <c r="AU39"/>
  <c r="AT39"/>
  <c r="AR39"/>
  <c r="AQ39"/>
  <c r="AP39"/>
  <c r="AO39"/>
  <c r="AF39"/>
  <c r="Y39"/>
  <c r="X39"/>
  <c r="W39"/>
  <c r="R39"/>
  <c r="BM38"/>
  <c r="AW38"/>
  <c r="AU38"/>
  <c r="AT38"/>
  <c r="AR38"/>
  <c r="AQ38"/>
  <c r="AP38"/>
  <c r="AO38"/>
  <c r="AF38"/>
  <c r="Y38"/>
  <c r="X38"/>
  <c r="W38"/>
  <c r="R38"/>
  <c r="BM37"/>
  <c r="AW37"/>
  <c r="AU37"/>
  <c r="AT37"/>
  <c r="AR37"/>
  <c r="AQ37"/>
  <c r="AP37"/>
  <c r="AO37"/>
  <c r="AF37"/>
  <c r="Y37"/>
  <c r="X37"/>
  <c r="W37"/>
  <c r="R37"/>
  <c r="BM36"/>
  <c r="AW36"/>
  <c r="AU36"/>
  <c r="AT36"/>
  <c r="AR36"/>
  <c r="AQ36"/>
  <c r="AP36"/>
  <c r="AO36"/>
  <c r="AF36"/>
  <c r="Y36"/>
  <c r="X36"/>
  <c r="W36"/>
  <c r="R36"/>
  <c r="BM35"/>
  <c r="AW35"/>
  <c r="AU35"/>
  <c r="AT35"/>
  <c r="AR35"/>
  <c r="AQ35"/>
  <c r="AP35"/>
  <c r="AO35"/>
  <c r="AF35"/>
  <c r="Y35"/>
  <c r="X35"/>
  <c r="W35"/>
  <c r="R35"/>
  <c r="R52"/>
  <c r="R51"/>
  <c r="R50"/>
  <c r="H17" i="5"/>
  <c r="AR43" i="9"/>
  <c r="AR42"/>
  <c r="AR41"/>
  <c r="AR40"/>
  <c r="AR39"/>
  <c r="AR38"/>
  <c r="AR37"/>
  <c r="AR36"/>
  <c r="AR35"/>
  <c r="AR34"/>
  <c r="AR33"/>
  <c r="AR32"/>
  <c r="AR31"/>
  <c r="AR30"/>
  <c r="AR29"/>
  <c r="AR28"/>
  <c r="AR27"/>
  <c r="AR26"/>
  <c r="AR25"/>
  <c r="AR24"/>
  <c r="AR23"/>
  <c r="AR22"/>
  <c r="AR21"/>
  <c r="AR20"/>
  <c r="AR19"/>
  <c r="AR18"/>
  <c r="AR17"/>
  <c r="AR16"/>
  <c r="AR15"/>
  <c r="AR14"/>
  <c r="AR13"/>
  <c r="AL3"/>
  <c r="AL4" s="1"/>
  <c r="AL2"/>
  <c r="AL1"/>
  <c r="AJ1"/>
  <c r="Z16" i="1" l="1"/>
  <c r="Z15"/>
  <c r="AP14"/>
  <c r="AA14"/>
  <c r="AH14" s="1"/>
  <c r="Z17"/>
  <c r="BW40"/>
  <c r="BU37"/>
  <c r="BU41"/>
  <c r="BW36"/>
  <c r="Y20"/>
  <c r="BU35"/>
  <c r="BU39"/>
  <c r="BW38"/>
  <c r="BX39"/>
  <c r="BO37"/>
  <c r="BV37"/>
  <c r="BS37"/>
  <c r="BW37"/>
  <c r="BW41"/>
  <c r="BW39"/>
  <c r="BS41"/>
  <c r="BS39"/>
  <c r="BO41"/>
  <c r="BO39"/>
  <c r="BV41"/>
  <c r="BW35"/>
  <c r="BS35"/>
  <c r="BO35"/>
  <c r="BX35"/>
  <c r="BU36"/>
  <c r="BQ38"/>
  <c r="BR35"/>
  <c r="BV35"/>
  <c r="BP36"/>
  <c r="BT36"/>
  <c r="BX36"/>
  <c r="BR39"/>
  <c r="BV39"/>
  <c r="BP40"/>
  <c r="BT40"/>
  <c r="BX40"/>
  <c r="BR41"/>
  <c r="BP35"/>
  <c r="BT35"/>
  <c r="BR36"/>
  <c r="BV36"/>
  <c r="BP37"/>
  <c r="BT37"/>
  <c r="BX37"/>
  <c r="BR38"/>
  <c r="BV38"/>
  <c r="BP39"/>
  <c r="BT39"/>
  <c r="BR40"/>
  <c r="BV40"/>
  <c r="BP41"/>
  <c r="BT41"/>
  <c r="BX41"/>
  <c r="BQ36"/>
  <c r="BU38"/>
  <c r="BQ40"/>
  <c r="BU40"/>
  <c r="BR37"/>
  <c r="BP38"/>
  <c r="BT38"/>
  <c r="BX38"/>
  <c r="BQ35"/>
  <c r="BO36"/>
  <c r="BS36"/>
  <c r="BQ37"/>
  <c r="BO38"/>
  <c r="BS38"/>
  <c r="BQ39"/>
  <c r="BO40"/>
  <c r="BS40"/>
  <c r="BQ41"/>
  <c r="AR49"/>
  <c r="AR48"/>
  <c r="AR47"/>
  <c r="AR46"/>
  <c r="AR45"/>
  <c r="AR44"/>
  <c r="AR43"/>
  <c r="AR42"/>
  <c r="AR34"/>
  <c r="AR33"/>
  <c r="AR32"/>
  <c r="AR31"/>
  <c r="AR30"/>
  <c r="AR29"/>
  <c r="AR28"/>
  <c r="AR27"/>
  <c r="AR26"/>
  <c r="AR25"/>
  <c r="AR24"/>
  <c r="AR23"/>
  <c r="AR22"/>
  <c r="AR21"/>
  <c r="AR20"/>
  <c r="AR19"/>
  <c r="AR18"/>
  <c r="AR17"/>
  <c r="AR16"/>
  <c r="AR15"/>
  <c r="AG14" l="1"/>
  <c r="AF14"/>
  <c r="AQ14"/>
  <c r="AO14"/>
  <c r="BO104" i="9"/>
  <c r="BN104"/>
  <c r="BM104"/>
  <c r="BL104"/>
  <c r="BK104"/>
  <c r="BJ104"/>
  <c r="BI104"/>
  <c r="BH104"/>
  <c r="BG104"/>
  <c r="BF104"/>
  <c r="BE104"/>
  <c r="BD104"/>
  <c r="BC104"/>
  <c r="BB104"/>
  <c r="BO103"/>
  <c r="BN103"/>
  <c r="BM103"/>
  <c r="BL103"/>
  <c r="BK103"/>
  <c r="BJ103"/>
  <c r="BI103"/>
  <c r="BH103"/>
  <c r="BG103"/>
  <c r="BF103"/>
  <c r="BE103"/>
  <c r="BD103"/>
  <c r="BC103"/>
  <c r="BB103"/>
  <c r="BA103"/>
  <c r="BO81"/>
  <c r="BN81"/>
  <c r="BM81"/>
  <c r="BL81"/>
  <c r="BK81"/>
  <c r="BJ81"/>
  <c r="BI81"/>
  <c r="BH81"/>
  <c r="BG81"/>
  <c r="BF81"/>
  <c r="BE81"/>
  <c r="BD81"/>
  <c r="BC81"/>
  <c r="BB81"/>
  <c r="BO80"/>
  <c r="BN80"/>
  <c r="BM80"/>
  <c r="BL80"/>
  <c r="BK80"/>
  <c r="BJ80"/>
  <c r="BI80"/>
  <c r="BH80"/>
  <c r="BG80"/>
  <c r="BF80"/>
  <c r="BE80"/>
  <c r="BD80"/>
  <c r="BC80"/>
  <c r="BB80"/>
  <c r="BO79"/>
  <c r="BN79"/>
  <c r="BM79"/>
  <c r="BL79"/>
  <c r="BK79"/>
  <c r="BJ79"/>
  <c r="BI79"/>
  <c r="BH79"/>
  <c r="BG79"/>
  <c r="BF79"/>
  <c r="BE79"/>
  <c r="BD79"/>
  <c r="BC79"/>
  <c r="BB79"/>
  <c r="BO78"/>
  <c r="BN78"/>
  <c r="BM78"/>
  <c r="BL78"/>
  <c r="BK78"/>
  <c r="BJ78"/>
  <c r="BI78"/>
  <c r="BH78"/>
  <c r="BG78"/>
  <c r="BF78"/>
  <c r="BE78"/>
  <c r="BD78"/>
  <c r="BC78"/>
  <c r="BB78"/>
  <c r="BO77"/>
  <c r="BN77"/>
  <c r="BM77"/>
  <c r="BL77"/>
  <c r="BK77"/>
  <c r="BJ77"/>
  <c r="BI77"/>
  <c r="BH77"/>
  <c r="BG77"/>
  <c r="BF77"/>
  <c r="BE77"/>
  <c r="BD77"/>
  <c r="BC77"/>
  <c r="BB77"/>
  <c r="AW14" i="1" l="1"/>
  <c r="BX14" s="1"/>
  <c r="Y23" i="11"/>
  <c r="Y22"/>
  <c r="Y21"/>
  <c r="Y20"/>
  <c r="Y19"/>
  <c r="Y18"/>
  <c r="Y17"/>
  <c r="Y16"/>
  <c r="Y15"/>
  <c r="Y14"/>
  <c r="BV14" i="1" l="1"/>
  <c r="BO14"/>
  <c r="BT14"/>
  <c r="BR14"/>
  <c r="BU14"/>
  <c r="BP14"/>
  <c r="BW14"/>
  <c r="BQ14"/>
  <c r="BS14"/>
  <c r="Z43" i="9"/>
  <c r="Z42"/>
  <c r="Z41"/>
  <c r="Z40"/>
  <c r="Z39"/>
  <c r="Z38"/>
  <c r="Z37"/>
  <c r="Z36"/>
  <c r="Z35"/>
  <c r="Z34"/>
  <c r="Z33"/>
  <c r="Z32"/>
  <c r="Z31"/>
  <c r="Z30"/>
  <c r="Z29"/>
  <c r="Z28"/>
  <c r="Z27"/>
  <c r="Z26"/>
  <c r="Z25"/>
  <c r="Z24"/>
  <c r="Z23"/>
  <c r="Z22"/>
  <c r="Z21"/>
  <c r="Z20"/>
  <c r="Z67" i="1" l="1"/>
  <c r="Z66"/>
  <c r="Z65"/>
  <c r="Z64"/>
  <c r="Z63"/>
  <c r="Z62"/>
  <c r="Z61"/>
  <c r="Z60"/>
  <c r="Z59"/>
  <c r="Z58"/>
  <c r="Z57"/>
  <c r="Z56"/>
  <c r="Z55"/>
  <c r="Z54"/>
  <c r="Z53"/>
  <c r="Z24"/>
  <c r="Z23"/>
  <c r="Z21"/>
  <c r="Y43" i="9" l="1"/>
  <c r="Y42"/>
  <c r="Y41"/>
  <c r="Y40"/>
  <c r="Y39"/>
  <c r="Y38"/>
  <c r="Y37"/>
  <c r="Y36"/>
  <c r="Y35"/>
  <c r="Y34"/>
  <c r="Y33"/>
  <c r="Y32"/>
  <c r="Y31"/>
  <c r="Y30"/>
  <c r="Y29"/>
  <c r="Y28"/>
  <c r="Y27"/>
  <c r="Y26"/>
  <c r="Y25"/>
  <c r="Y24"/>
  <c r="Y23"/>
  <c r="Y22"/>
  <c r="Y21"/>
  <c r="Y20"/>
  <c r="Y66" i="1"/>
  <c r="Y65"/>
  <c r="Y64"/>
  <c r="Y63"/>
  <c r="Y62"/>
  <c r="Y61"/>
  <c r="Y60"/>
  <c r="Y59"/>
  <c r="Y58"/>
  <c r="Y57"/>
  <c r="Y56"/>
  <c r="Y55"/>
  <c r="Y54"/>
  <c r="Y53"/>
  <c r="Y49"/>
  <c r="Y48"/>
  <c r="Y47"/>
  <c r="Y46"/>
  <c r="Y45"/>
  <c r="Y44"/>
  <c r="Y43"/>
  <c r="Y42"/>
  <c r="Y34"/>
  <c r="Y33"/>
  <c r="Y32"/>
  <c r="Y31"/>
  <c r="Y30"/>
  <c r="Y29"/>
  <c r="Y26"/>
  <c r="Y25"/>
  <c r="Y24"/>
  <c r="Y23"/>
  <c r="Y22"/>
  <c r="X66"/>
  <c r="X65"/>
  <c r="X64"/>
  <c r="X63"/>
  <c r="X62"/>
  <c r="X61"/>
  <c r="X60"/>
  <c r="X59"/>
  <c r="X58"/>
  <c r="X57"/>
  <c r="X56"/>
  <c r="X55"/>
  <c r="X54"/>
  <c r="X53"/>
  <c r="X49"/>
  <c r="X48"/>
  <c r="X47"/>
  <c r="X46"/>
  <c r="X45"/>
  <c r="X44"/>
  <c r="X43"/>
  <c r="X42"/>
  <c r="X34"/>
  <c r="X33"/>
  <c r="X32"/>
  <c r="X31"/>
  <c r="X30"/>
  <c r="X29"/>
  <c r="X27"/>
  <c r="X26"/>
  <c r="X25"/>
  <c r="X24"/>
  <c r="X23"/>
  <c r="X22"/>
  <c r="X21"/>
  <c r="X20"/>
  <c r="X19"/>
  <c r="X23" i="11" l="1"/>
  <c r="W23"/>
  <c r="X22"/>
  <c r="W22"/>
  <c r="X21"/>
  <c r="W21"/>
  <c r="X20"/>
  <c r="W20"/>
  <c r="X19"/>
  <c r="W19"/>
  <c r="X18"/>
  <c r="W18"/>
  <c r="X17"/>
  <c r="W17"/>
  <c r="X16"/>
  <c r="W16"/>
  <c r="X15"/>
  <c r="W15"/>
  <c r="W14"/>
  <c r="X43" i="9"/>
  <c r="AG43" s="1"/>
  <c r="X42"/>
  <c r="AG42" s="1"/>
  <c r="X41"/>
  <c r="AG41" s="1"/>
  <c r="X40"/>
  <c r="AG40" s="1"/>
  <c r="X39"/>
  <c r="AG39" s="1"/>
  <c r="X38"/>
  <c r="AG38" s="1"/>
  <c r="X37"/>
  <c r="AG37" s="1"/>
  <c r="X36"/>
  <c r="AG36" s="1"/>
  <c r="X35"/>
  <c r="AG35" s="1"/>
  <c r="X34"/>
  <c r="AG34" s="1"/>
  <c r="X33"/>
  <c r="AG33" s="1"/>
  <c r="X32"/>
  <c r="AG32" s="1"/>
  <c r="X31"/>
  <c r="AG31" s="1"/>
  <c r="X30"/>
  <c r="AG30" s="1"/>
  <c r="X29"/>
  <c r="AG29" s="1"/>
  <c r="X28"/>
  <c r="AG28" s="1"/>
  <c r="X27"/>
  <c r="AG27" s="1"/>
  <c r="X26"/>
  <c r="AG26" s="1"/>
  <c r="X25"/>
  <c r="AG25" s="1"/>
  <c r="X24"/>
  <c r="AG24" s="1"/>
  <c r="X23"/>
  <c r="AG23" s="1"/>
  <c r="X22"/>
  <c r="AG22" s="1"/>
  <c r="X21"/>
  <c r="AG21" s="1"/>
  <c r="X20"/>
  <c r="AG20" s="1"/>
  <c r="X19"/>
  <c r="X18"/>
  <c r="X17"/>
  <c r="X16"/>
  <c r="X15"/>
  <c r="X14"/>
  <c r="AD16" i="11" l="1"/>
  <c r="AD18"/>
  <c r="AD20"/>
  <c r="AD22"/>
  <c r="AD15"/>
  <c r="AD19"/>
  <c r="AD23"/>
  <c r="AD17"/>
  <c r="AD21"/>
  <c r="Q1" i="9"/>
  <c r="AF43" l="1"/>
  <c r="AF42"/>
  <c r="AF41"/>
  <c r="AF40"/>
  <c r="AF39"/>
  <c r="AF38"/>
  <c r="AF37"/>
  <c r="AF36"/>
  <c r="AF35"/>
  <c r="AF34"/>
  <c r="AF33"/>
  <c r="AF32"/>
  <c r="AF31"/>
  <c r="AF30"/>
  <c r="AF29"/>
  <c r="AF28"/>
  <c r="AF27"/>
  <c r="AF26"/>
  <c r="AF25"/>
  <c r="AF24"/>
  <c r="AF23"/>
  <c r="AF22"/>
  <c r="AF21"/>
  <c r="AF20"/>
  <c r="AF19"/>
  <c r="AF66" i="1"/>
  <c r="AF65"/>
  <c r="AF64"/>
  <c r="AF63"/>
  <c r="AF62"/>
  <c r="AF61"/>
  <c r="AF60"/>
  <c r="AF59"/>
  <c r="AF58"/>
  <c r="AF57"/>
  <c r="AF56"/>
  <c r="AF55"/>
  <c r="AF54"/>
  <c r="AF49"/>
  <c r="AF48"/>
  <c r="AF47"/>
  <c r="AF46"/>
  <c r="AF45"/>
  <c r="AF44"/>
  <c r="AF43"/>
  <c r="AF42"/>
  <c r="AF34"/>
  <c r="AF33"/>
  <c r="AF32"/>
  <c r="AF31"/>
  <c r="AF30"/>
  <c r="AF29"/>
  <c r="AF28"/>
  <c r="AF27"/>
  <c r="AF26"/>
  <c r="AF25"/>
  <c r="AF24"/>
  <c r="AF23"/>
  <c r="AF21"/>
  <c r="AF15"/>
  <c r="I54" i="12" l="1"/>
  <c r="H54"/>
  <c r="I53"/>
  <c r="H53"/>
  <c r="I52"/>
  <c r="H52"/>
  <c r="I51"/>
  <c r="H51"/>
  <c r="I50"/>
  <c r="H50"/>
  <c r="H48"/>
  <c r="I48"/>
  <c r="I47"/>
  <c r="H47"/>
  <c r="I46"/>
  <c r="H46"/>
  <c r="I45"/>
  <c r="H45"/>
  <c r="I44"/>
  <c r="H44"/>
  <c r="I43"/>
  <c r="H43"/>
  <c r="I42"/>
  <c r="H42"/>
  <c r="I41"/>
  <c r="H41"/>
  <c r="I38"/>
  <c r="H38"/>
  <c r="I37"/>
  <c r="H37"/>
  <c r="I36"/>
  <c r="H36"/>
  <c r="I35"/>
  <c r="H35"/>
  <c r="I34"/>
  <c r="H34"/>
  <c r="I33"/>
  <c r="H33"/>
  <c r="I32"/>
  <c r="H32"/>
  <c r="I31"/>
  <c r="H31"/>
  <c r="I30"/>
  <c r="H30"/>
  <c r="I29"/>
  <c r="H29"/>
  <c r="I28"/>
  <c r="H28"/>
  <c r="I27"/>
  <c r="H27"/>
  <c r="I26"/>
  <c r="H26"/>
  <c r="I25"/>
  <c r="H25"/>
  <c r="I24"/>
  <c r="H24"/>
  <c r="I21"/>
  <c r="H21"/>
  <c r="I20"/>
  <c r="H20"/>
  <c r="I19"/>
  <c r="H19"/>
  <c r="I18"/>
  <c r="H18"/>
  <c r="I17"/>
  <c r="H17"/>
  <c r="I16"/>
  <c r="H16"/>
  <c r="I15"/>
  <c r="H15"/>
  <c r="I14"/>
  <c r="H14"/>
  <c r="I13"/>
  <c r="H13"/>
  <c r="AT23" i="11"/>
  <c r="AT22"/>
  <c r="AT21"/>
  <c r="AT20"/>
  <c r="AT19"/>
  <c r="AT18"/>
  <c r="AT17"/>
  <c r="AT16"/>
  <c r="AT15"/>
  <c r="Q1"/>
  <c r="BP71" i="9"/>
  <c r="BP70"/>
  <c r="BP69"/>
  <c r="BP68"/>
  <c r="BP67"/>
  <c r="BP66"/>
  <c r="BP65"/>
  <c r="BP64"/>
  <c r="BP63"/>
  <c r="BP62"/>
  <c r="BP61"/>
  <c r="BP60"/>
  <c r="BP59"/>
  <c r="BP58"/>
  <c r="BP57"/>
  <c r="BP56"/>
  <c r="BP55"/>
  <c r="BP54"/>
  <c r="BP53"/>
  <c r="BP52"/>
  <c r="BP51"/>
  <c r="BP50"/>
  <c r="BP49"/>
  <c r="BP48"/>
  <c r="BP47"/>
  <c r="B15" i="12"/>
  <c r="B14"/>
  <c r="B13"/>
  <c r="A1" i="16" l="1"/>
  <c r="G8" i="5" l="1"/>
  <c r="F8"/>
  <c r="E8"/>
  <c r="AN9" i="2"/>
  <c r="AM9"/>
  <c r="AL9"/>
  <c r="AK9"/>
  <c r="AJ9"/>
  <c r="AI9"/>
  <c r="AH9"/>
  <c r="AG9"/>
  <c r="AF9"/>
  <c r="AE9"/>
  <c r="AM9" i="6"/>
  <c r="AL9"/>
  <c r="AK9"/>
  <c r="AJ9"/>
  <c r="AN9"/>
  <c r="AO9"/>
  <c r="AP9"/>
  <c r="AQ9"/>
  <c r="AR9"/>
  <c r="AS9"/>
  <c r="BX9" i="1"/>
  <c r="BW9"/>
  <c r="BV9"/>
  <c r="BU9"/>
  <c r="BT9"/>
  <c r="BS9"/>
  <c r="BR9"/>
  <c r="BQ9"/>
  <c r="BP9"/>
  <c r="BO9"/>
  <c r="O8" i="3"/>
  <c r="N8"/>
  <c r="M8"/>
  <c r="L8"/>
  <c r="K8"/>
  <c r="J8"/>
  <c r="I8"/>
  <c r="H8"/>
  <c r="G8"/>
  <c r="F8"/>
  <c r="L9" i="8"/>
  <c r="K9"/>
  <c r="J9"/>
  <c r="I9"/>
  <c r="H9"/>
  <c r="G9"/>
  <c r="F9"/>
  <c r="E9"/>
  <c r="D9"/>
  <c r="C9"/>
  <c r="X9" i="2"/>
  <c r="W9"/>
  <c r="V9"/>
  <c r="U9"/>
  <c r="T9"/>
  <c r="S9"/>
  <c r="R9"/>
  <c r="Q9"/>
  <c r="P9"/>
  <c r="O9"/>
  <c r="AC8" i="6"/>
  <c r="AB8"/>
  <c r="AA8"/>
  <c r="Z8"/>
  <c r="Y8"/>
  <c r="X8"/>
  <c r="W8"/>
  <c r="V8"/>
  <c r="U8"/>
  <c r="T8"/>
  <c r="BB9" i="1"/>
  <c r="BA9"/>
  <c r="AZ9"/>
  <c r="BH9"/>
  <c r="BG9"/>
  <c r="BF9"/>
  <c r="BE9"/>
  <c r="BD9"/>
  <c r="BC9"/>
  <c r="AY9"/>
  <c r="O35" i="16" l="1"/>
  <c r="N35"/>
  <c r="M35"/>
  <c r="L35"/>
  <c r="K35"/>
  <c r="O34"/>
  <c r="N34"/>
  <c r="M34"/>
  <c r="O33"/>
  <c r="N33"/>
  <c r="M33"/>
  <c r="O32"/>
  <c r="N32"/>
  <c r="M32"/>
  <c r="L32"/>
  <c r="O31"/>
  <c r="N31"/>
  <c r="M31"/>
  <c r="O30"/>
  <c r="N30"/>
  <c r="M30"/>
  <c r="O29"/>
  <c r="N29"/>
  <c r="M29"/>
  <c r="L29"/>
  <c r="K29"/>
  <c r="O28"/>
  <c r="N28"/>
  <c r="M28"/>
  <c r="O27"/>
  <c r="N27"/>
  <c r="M27"/>
  <c r="O26"/>
  <c r="N26"/>
  <c r="M26"/>
  <c r="L26"/>
  <c r="K26"/>
  <c r="O25"/>
  <c r="N25"/>
  <c r="M25"/>
  <c r="O24"/>
  <c r="N24"/>
  <c r="M24"/>
  <c r="O23"/>
  <c r="N23"/>
  <c r="M23"/>
  <c r="L23"/>
  <c r="K23"/>
  <c r="O22"/>
  <c r="N22"/>
  <c r="M22"/>
  <c r="O21"/>
  <c r="N21"/>
  <c r="M21"/>
  <c r="O20"/>
  <c r="N20"/>
  <c r="M20"/>
  <c r="O19"/>
  <c r="N19"/>
  <c r="M19"/>
  <c r="L19"/>
  <c r="K19"/>
  <c r="O18"/>
  <c r="N18"/>
  <c r="M18"/>
  <c r="L18"/>
  <c r="O17"/>
  <c r="N17"/>
  <c r="M17"/>
  <c r="O16"/>
  <c r="N16"/>
  <c r="M16"/>
  <c r="O15"/>
  <c r="N15"/>
  <c r="M15"/>
  <c r="L15"/>
  <c r="K15"/>
  <c r="O14"/>
  <c r="N14"/>
  <c r="M14"/>
  <c r="L14"/>
  <c r="O13"/>
  <c r="N13"/>
  <c r="M13"/>
  <c r="O12"/>
  <c r="N12"/>
  <c r="M12"/>
  <c r="O11"/>
  <c r="N11"/>
  <c r="M11"/>
  <c r="L11"/>
  <c r="K11"/>
  <c r="O10"/>
  <c r="N10"/>
  <c r="M10"/>
  <c r="L10"/>
  <c r="O9"/>
  <c r="N9"/>
  <c r="M9"/>
  <c r="Y28" i="1" l="1"/>
  <c r="L50" i="2"/>
  <c r="K50"/>
  <c r="J50"/>
  <c r="I50"/>
  <c r="H50"/>
  <c r="G50"/>
  <c r="D42" i="12" l="1"/>
  <c r="D43"/>
  <c r="D44"/>
  <c r="D45"/>
  <c r="D46"/>
  <c r="D47"/>
  <c r="D48"/>
  <c r="D41"/>
  <c r="BC37" i="11"/>
  <c r="F6" i="4" l="1"/>
  <c r="AW66" i="1"/>
  <c r="AW65"/>
  <c r="AW64"/>
  <c r="AW63"/>
  <c r="AW62"/>
  <c r="AW61"/>
  <c r="AW60"/>
  <c r="AW59"/>
  <c r="AW58"/>
  <c r="AW57"/>
  <c r="AW56"/>
  <c r="AW55"/>
  <c r="AW48"/>
  <c r="AW47"/>
  <c r="AW46"/>
  <c r="BU46" s="1"/>
  <c r="AW45"/>
  <c r="BV45" s="1"/>
  <c r="AW44"/>
  <c r="AW43"/>
  <c r="AW42"/>
  <c r="AW34"/>
  <c r="AW33"/>
  <c r="AW32"/>
  <c r="AW31"/>
  <c r="AW30"/>
  <c r="AW29"/>
  <c r="AW28"/>
  <c r="AW27"/>
  <c r="AW26"/>
  <c r="AW25"/>
  <c r="AW24"/>
  <c r="BX48"/>
  <c r="BW48"/>
  <c r="BV48"/>
  <c r="BU48"/>
  <c r="BT48"/>
  <c r="BS48"/>
  <c r="BR48"/>
  <c r="BQ48"/>
  <c r="BP48"/>
  <c r="BO48"/>
  <c r="BX47"/>
  <c r="BW47"/>
  <c r="BV47"/>
  <c r="BU47"/>
  <c r="BT47"/>
  <c r="BS47"/>
  <c r="BR47"/>
  <c r="BQ47"/>
  <c r="BP47"/>
  <c r="BO47"/>
  <c r="BX46"/>
  <c r="BS46"/>
  <c r="BP46"/>
  <c r="BX45"/>
  <c r="BW45"/>
  <c r="BU45"/>
  <c r="BT45"/>
  <c r="BS45"/>
  <c r="BQ45"/>
  <c r="BP45"/>
  <c r="BO45"/>
  <c r="BX24"/>
  <c r="BW24"/>
  <c r="BV24"/>
  <c r="BU24"/>
  <c r="BT24"/>
  <c r="BS24"/>
  <c r="BR24"/>
  <c r="BQ24"/>
  <c r="BP24"/>
  <c r="BO24"/>
  <c r="AT36" i="11"/>
  <c r="AT35"/>
  <c r="AT34"/>
  <c r="AT33"/>
  <c r="AT32"/>
  <c r="AT31"/>
  <c r="AT30"/>
  <c r="AT29"/>
  <c r="AT28"/>
  <c r="BT46" i="1" l="1"/>
  <c r="BO46"/>
  <c r="BW46"/>
  <c r="BR46"/>
  <c r="BV46"/>
  <c r="BQ46"/>
  <c r="BR45"/>
  <c r="D2" i="9"/>
  <c r="D2" i="2"/>
  <c r="C2" i="10"/>
  <c r="D2" i="5"/>
  <c r="C2" i="6"/>
  <c r="C2" i="12"/>
  <c r="C2" i="3"/>
  <c r="D2" i="1"/>
  <c r="E2" i="11"/>
  <c r="C2" i="8"/>
  <c r="D2" i="16"/>
  <c r="AR23" i="11"/>
  <c r="AQ23"/>
  <c r="AO23"/>
  <c r="AN23"/>
  <c r="AM23"/>
  <c r="AL23"/>
  <c r="V23"/>
  <c r="Q23"/>
  <c r="AR22"/>
  <c r="AQ22"/>
  <c r="AO22"/>
  <c r="AN22"/>
  <c r="AM22"/>
  <c r="AL22"/>
  <c r="V22"/>
  <c r="Q22"/>
  <c r="Z22" s="1"/>
  <c r="AR21"/>
  <c r="AQ21"/>
  <c r="AO21"/>
  <c r="AN21"/>
  <c r="AM21"/>
  <c r="AL21"/>
  <c r="V21"/>
  <c r="Q21"/>
  <c r="AR20"/>
  <c r="AQ20"/>
  <c r="AO20"/>
  <c r="AN20"/>
  <c r="AM20"/>
  <c r="AL20"/>
  <c r="V20"/>
  <c r="Q20"/>
  <c r="AR19"/>
  <c r="AQ19"/>
  <c r="AO19"/>
  <c r="AN19"/>
  <c r="AM19"/>
  <c r="AL19"/>
  <c r="V19"/>
  <c r="Q19"/>
  <c r="AR18"/>
  <c r="AQ18"/>
  <c r="AO18"/>
  <c r="AN18"/>
  <c r="AM18"/>
  <c r="AL18"/>
  <c r="V18"/>
  <c r="Q18"/>
  <c r="Z18" s="1"/>
  <c r="AR17"/>
  <c r="AQ17"/>
  <c r="AO17"/>
  <c r="AN17"/>
  <c r="AM17"/>
  <c r="AL17"/>
  <c r="V17"/>
  <c r="Q17"/>
  <c r="AR16"/>
  <c r="AQ16"/>
  <c r="AO16"/>
  <c r="AN16"/>
  <c r="AM16"/>
  <c r="AL16"/>
  <c r="V16"/>
  <c r="Q16"/>
  <c r="E14"/>
  <c r="E15" s="1"/>
  <c r="E16" s="1"/>
  <c r="E17" s="1"/>
  <c r="AR15"/>
  <c r="AQ15"/>
  <c r="AO15"/>
  <c r="AN15"/>
  <c r="AM15"/>
  <c r="AL15"/>
  <c r="V15"/>
  <c r="Q15"/>
  <c r="Z15" s="1"/>
  <c r="AR14"/>
  <c r="AQ14"/>
  <c r="AO14"/>
  <c r="V14"/>
  <c r="Q14"/>
  <c r="O14"/>
  <c r="V2" i="16"/>
  <c r="O15" i="11" l="1"/>
  <c r="O16" s="1"/>
  <c r="O17" s="1"/>
  <c r="O18" s="1"/>
  <c r="O19" s="1"/>
  <c r="O20" s="1"/>
  <c r="O21" s="1"/>
  <c r="O22" s="1"/>
  <c r="O23" s="1"/>
  <c r="X14"/>
  <c r="AD14" s="1"/>
  <c r="E18"/>
  <c r="R15" i="9"/>
  <c r="W15"/>
  <c r="AQ15"/>
  <c r="AT15"/>
  <c r="AU15"/>
  <c r="R16"/>
  <c r="W16"/>
  <c r="AQ16"/>
  <c r="AT16"/>
  <c r="AU16"/>
  <c r="R17"/>
  <c r="W17"/>
  <c r="AQ17"/>
  <c r="AT17"/>
  <c r="AU17"/>
  <c r="R18"/>
  <c r="W18"/>
  <c r="AQ18"/>
  <c r="AT18"/>
  <c r="AU18"/>
  <c r="R19"/>
  <c r="W19"/>
  <c r="AO19"/>
  <c r="AP19"/>
  <c r="AQ19"/>
  <c r="AT19"/>
  <c r="AU19"/>
  <c r="R20"/>
  <c r="W20"/>
  <c r="AO20"/>
  <c r="AP20"/>
  <c r="AQ20"/>
  <c r="AT20"/>
  <c r="AU20"/>
  <c r="R21"/>
  <c r="W21"/>
  <c r="AO21"/>
  <c r="AP21"/>
  <c r="AQ21"/>
  <c r="AT21"/>
  <c r="AU21"/>
  <c r="R22"/>
  <c r="W22"/>
  <c r="AO22"/>
  <c r="AP22"/>
  <c r="AQ22"/>
  <c r="AT22"/>
  <c r="AU22"/>
  <c r="R23"/>
  <c r="W23"/>
  <c r="AO23"/>
  <c r="AP23"/>
  <c r="AQ23"/>
  <c r="AT23"/>
  <c r="AU23"/>
  <c r="R24"/>
  <c r="W24"/>
  <c r="AO24"/>
  <c r="AP24"/>
  <c r="AQ24"/>
  <c r="AT24"/>
  <c r="AU24"/>
  <c r="R25"/>
  <c r="W25"/>
  <c r="AO25"/>
  <c r="AP25"/>
  <c r="AQ25"/>
  <c r="AT25"/>
  <c r="AU25"/>
  <c r="R26"/>
  <c r="W26"/>
  <c r="AO26"/>
  <c r="AP26"/>
  <c r="AQ26"/>
  <c r="AT26"/>
  <c r="AU26"/>
  <c r="R27"/>
  <c r="W27"/>
  <c r="AO27"/>
  <c r="AP27"/>
  <c r="AQ27"/>
  <c r="AT27"/>
  <c r="AU27"/>
  <c r="R28"/>
  <c r="W28"/>
  <c r="AO28"/>
  <c r="AP28"/>
  <c r="AQ28"/>
  <c r="AT28"/>
  <c r="AU28"/>
  <c r="R29"/>
  <c r="W29"/>
  <c r="AO29"/>
  <c r="AP29"/>
  <c r="AQ29"/>
  <c r="AT29"/>
  <c r="AU29"/>
  <c r="R30"/>
  <c r="W30"/>
  <c r="AO30"/>
  <c r="AP30"/>
  <c r="AQ30"/>
  <c r="AT30"/>
  <c r="AU30"/>
  <c r="R31"/>
  <c r="W31"/>
  <c r="AO31"/>
  <c r="AP31"/>
  <c r="AQ31"/>
  <c r="AT31"/>
  <c r="AU31"/>
  <c r="R32"/>
  <c r="W32"/>
  <c r="AO32"/>
  <c r="AP32"/>
  <c r="AQ32"/>
  <c r="AT32"/>
  <c r="AU32"/>
  <c r="R33"/>
  <c r="W33"/>
  <c r="AO33"/>
  <c r="AP33"/>
  <c r="AQ33"/>
  <c r="AT33"/>
  <c r="AU33"/>
  <c r="R34"/>
  <c r="W34"/>
  <c r="AO34"/>
  <c r="AP34"/>
  <c r="AQ34"/>
  <c r="AT34"/>
  <c r="AU34"/>
  <c r="R35"/>
  <c r="W35"/>
  <c r="AO35"/>
  <c r="AP35"/>
  <c r="AQ35"/>
  <c r="AT35"/>
  <c r="AU35"/>
  <c r="R36"/>
  <c r="W36"/>
  <c r="AO36"/>
  <c r="AP36"/>
  <c r="AQ36"/>
  <c r="AT36"/>
  <c r="AU36"/>
  <c r="R37"/>
  <c r="W37"/>
  <c r="AO37"/>
  <c r="AP37"/>
  <c r="AQ37"/>
  <c r="AT37"/>
  <c r="AU37"/>
  <c r="R38"/>
  <c r="W38"/>
  <c r="AO38"/>
  <c r="AP38"/>
  <c r="AQ38"/>
  <c r="AT38"/>
  <c r="AU38"/>
  <c r="R39"/>
  <c r="W39"/>
  <c r="AO39"/>
  <c r="AP39"/>
  <c r="AQ39"/>
  <c r="AT39"/>
  <c r="AU39"/>
  <c r="R40"/>
  <c r="W40"/>
  <c r="AO40"/>
  <c r="AP40"/>
  <c r="AQ40"/>
  <c r="AT40"/>
  <c r="AU40"/>
  <c r="R41"/>
  <c r="W41"/>
  <c r="AO41"/>
  <c r="AP41"/>
  <c r="AQ41"/>
  <c r="AT41"/>
  <c r="AU41"/>
  <c r="R42"/>
  <c r="W42"/>
  <c r="AO42"/>
  <c r="AP42"/>
  <c r="AQ42"/>
  <c r="AT42"/>
  <c r="AU42"/>
  <c r="R43"/>
  <c r="AA43" s="1"/>
  <c r="W43"/>
  <c r="AO43"/>
  <c r="AP43"/>
  <c r="AQ43"/>
  <c r="AT43"/>
  <c r="AU43"/>
  <c r="D13"/>
  <c r="P13"/>
  <c r="AH43" l="1"/>
  <c r="Z14" i="11"/>
  <c r="E19"/>
  <c r="E20" l="1"/>
  <c r="AU14" i="9"/>
  <c r="AT14"/>
  <c r="AQ14"/>
  <c r="W14"/>
  <c r="R14"/>
  <c r="AU13"/>
  <c r="AT13"/>
  <c r="W13"/>
  <c r="R13"/>
  <c r="P14"/>
  <c r="D14"/>
  <c r="P15" l="1"/>
  <c r="E21" i="11"/>
  <c r="D15" i="9"/>
  <c r="P16" l="1"/>
  <c r="AW20"/>
  <c r="E22" i="11"/>
  <c r="D16" i="9"/>
  <c r="W66" i="1"/>
  <c r="AG66" s="1"/>
  <c r="W65"/>
  <c r="AG65" s="1"/>
  <c r="W64"/>
  <c r="AG64" s="1"/>
  <c r="W63"/>
  <c r="AG63" s="1"/>
  <c r="W62"/>
  <c r="AG62" s="1"/>
  <c r="W61"/>
  <c r="AG61" s="1"/>
  <c r="W60"/>
  <c r="AG60" s="1"/>
  <c r="W59"/>
  <c r="AG59" s="1"/>
  <c r="W58"/>
  <c r="AG58" s="1"/>
  <c r="W57"/>
  <c r="AG57" s="1"/>
  <c r="W56"/>
  <c r="AG56" s="1"/>
  <c r="W55"/>
  <c r="AG55" s="1"/>
  <c r="W54"/>
  <c r="AG54" s="1"/>
  <c r="W53"/>
  <c r="AG53" s="1"/>
  <c r="R66"/>
  <c r="R65"/>
  <c r="AA65" s="1"/>
  <c r="R64"/>
  <c r="R63"/>
  <c r="R62"/>
  <c r="R61"/>
  <c r="AA61" s="1"/>
  <c r="R60"/>
  <c r="R59"/>
  <c r="R58"/>
  <c r="R57"/>
  <c r="AA57" s="1"/>
  <c r="R56"/>
  <c r="R55"/>
  <c r="R54"/>
  <c r="R53"/>
  <c r="AA53" s="1"/>
  <c r="AR66"/>
  <c r="AQ66"/>
  <c r="AP66"/>
  <c r="AO66"/>
  <c r="AR65"/>
  <c r="AQ65"/>
  <c r="AP65"/>
  <c r="AO65"/>
  <c r="AR64"/>
  <c r="AQ64"/>
  <c r="AP64"/>
  <c r="AO64"/>
  <c r="AR63"/>
  <c r="AQ63"/>
  <c r="AP63"/>
  <c r="AO63"/>
  <c r="AR62"/>
  <c r="AQ62"/>
  <c r="AP62"/>
  <c r="AO62"/>
  <c r="AR61"/>
  <c r="AQ61"/>
  <c r="AP61"/>
  <c r="AO61"/>
  <c r="AR60"/>
  <c r="AQ60"/>
  <c r="AP60"/>
  <c r="AO60"/>
  <c r="AR59"/>
  <c r="AQ59"/>
  <c r="AP59"/>
  <c r="AO59"/>
  <c r="AR58"/>
  <c r="AQ58"/>
  <c r="AP58"/>
  <c r="AO58"/>
  <c r="AR57"/>
  <c r="AQ57"/>
  <c r="AP57"/>
  <c r="AO57"/>
  <c r="AR56"/>
  <c r="AQ56"/>
  <c r="AP56"/>
  <c r="AO56"/>
  <c r="AR55"/>
  <c r="AQ55"/>
  <c r="AP55"/>
  <c r="AO55"/>
  <c r="AR54"/>
  <c r="AQ54"/>
  <c r="AP54"/>
  <c r="AO54"/>
  <c r="AR53"/>
  <c r="AQ53"/>
  <c r="AP53"/>
  <c r="AO53"/>
  <c r="P53"/>
  <c r="P54" s="1"/>
  <c r="P55" s="1"/>
  <c r="P56" s="1"/>
  <c r="P57" s="1"/>
  <c r="P58" s="1"/>
  <c r="P59" s="1"/>
  <c r="P60" s="1"/>
  <c r="P61" s="1"/>
  <c r="P62" s="1"/>
  <c r="P63" s="1"/>
  <c r="P64" s="1"/>
  <c r="P65" s="1"/>
  <c r="P66" s="1"/>
  <c r="AQ49"/>
  <c r="AQ48"/>
  <c r="AQ47"/>
  <c r="AQ46"/>
  <c r="AQ45"/>
  <c r="AQ44"/>
  <c r="AQ43"/>
  <c r="AQ42"/>
  <c r="AQ34"/>
  <c r="AQ33"/>
  <c r="AQ32"/>
  <c r="AQ31"/>
  <c r="AQ30"/>
  <c r="AQ29"/>
  <c r="AQ28"/>
  <c r="AQ27"/>
  <c r="AQ26"/>
  <c r="AQ25"/>
  <c r="AQ24"/>
  <c r="AQ23"/>
  <c r="AQ21"/>
  <c r="AQ20"/>
  <c r="AQ19"/>
  <c r="AQ18"/>
  <c r="AQ17"/>
  <c r="AQ16"/>
  <c r="AQ15"/>
  <c r="G46" i="16"/>
  <c r="H46" s="1"/>
  <c r="I46" s="1"/>
  <c r="J46" s="1"/>
  <c r="AP49" i="1"/>
  <c r="AP48"/>
  <c r="AP47"/>
  <c r="AP46"/>
  <c r="AP45"/>
  <c r="AP44"/>
  <c r="AP43"/>
  <c r="AP42"/>
  <c r="AP34"/>
  <c r="AP33"/>
  <c r="AP32"/>
  <c r="AP31"/>
  <c r="AP30"/>
  <c r="AP29"/>
  <c r="AP28"/>
  <c r="AP27"/>
  <c r="AP26"/>
  <c r="AP25"/>
  <c r="AP24"/>
  <c r="AP23"/>
  <c r="AP21"/>
  <c r="AP15"/>
  <c r="AO49"/>
  <c r="AO48"/>
  <c r="AO47"/>
  <c r="AO46"/>
  <c r="AO45"/>
  <c r="AO44"/>
  <c r="AO43"/>
  <c r="AO34"/>
  <c r="AO33"/>
  <c r="AO32"/>
  <c r="AO31"/>
  <c r="AO30"/>
  <c r="AO29"/>
  <c r="AO28"/>
  <c r="AO27"/>
  <c r="AO26"/>
  <c r="AO25"/>
  <c r="AO24"/>
  <c r="AO23"/>
  <c r="AO21"/>
  <c r="AO15"/>
  <c r="H45" i="16"/>
  <c r="I45" s="1"/>
  <c r="J45" s="1"/>
  <c r="P17" i="9" l="1"/>
  <c r="AW21"/>
  <c r="E23" i="11"/>
  <c r="D17" i="9"/>
  <c r="AA56" i="1"/>
  <c r="AA58"/>
  <c r="AA60"/>
  <c r="AA62"/>
  <c r="AA64"/>
  <c r="AA55"/>
  <c r="AA59"/>
  <c r="AA63"/>
  <c r="AA66"/>
  <c r="AH65"/>
  <c r="D53"/>
  <c r="P18" i="9" l="1"/>
  <c r="AW22"/>
  <c r="AH62" i="1"/>
  <c r="AH60"/>
  <c r="AH59"/>
  <c r="D18" i="9"/>
  <c r="AH64" i="1"/>
  <c r="AH63"/>
  <c r="AH66"/>
  <c r="AH56"/>
  <c r="AH58"/>
  <c r="D54"/>
  <c r="D55" s="1"/>
  <c r="AH57"/>
  <c r="AH61"/>
  <c r="P19" i="9" l="1"/>
  <c r="D56" i="1"/>
  <c r="D57" s="1"/>
  <c r="D58" s="1"/>
  <c r="D59" s="1"/>
  <c r="D60" s="1"/>
  <c r="D61" s="1"/>
  <c r="D62" s="1"/>
  <c r="D63" s="1"/>
  <c r="D64" s="1"/>
  <c r="D65" s="1"/>
  <c r="D66" s="1"/>
  <c r="AW23" i="9"/>
  <c r="D19"/>
  <c r="P20" l="1"/>
  <c r="P21" s="1"/>
  <c r="P22" s="1"/>
  <c r="P23" s="1"/>
  <c r="P24" s="1"/>
  <c r="P25" s="1"/>
  <c r="P26" s="1"/>
  <c r="P27" s="1"/>
  <c r="P28" s="1"/>
  <c r="P29" s="1"/>
  <c r="P30" s="1"/>
  <c r="P31" s="1"/>
  <c r="P32" s="1"/>
  <c r="P33" s="1"/>
  <c r="P34" s="1"/>
  <c r="P35" s="1"/>
  <c r="P36" s="1"/>
  <c r="P37" s="1"/>
  <c r="P38" s="1"/>
  <c r="P39" s="1"/>
  <c r="P40" s="1"/>
  <c r="P41" s="1"/>
  <c r="P42" s="1"/>
  <c r="P43" s="1"/>
  <c r="AH55" i="1"/>
  <c r="AW24" i="9"/>
  <c r="D20"/>
  <c r="R22" i="1"/>
  <c r="R23"/>
  <c r="AW25" i="9" l="1"/>
  <c r="D21"/>
  <c r="R49" i="1"/>
  <c r="R48"/>
  <c r="R47"/>
  <c r="R46"/>
  <c r="R45"/>
  <c r="R44"/>
  <c r="R43"/>
  <c r="R42"/>
  <c r="R34"/>
  <c r="R33"/>
  <c r="R32"/>
  <c r="R31"/>
  <c r="R30"/>
  <c r="R29"/>
  <c r="R28"/>
  <c r="R27"/>
  <c r="R26"/>
  <c r="R25"/>
  <c r="R24"/>
  <c r="R21"/>
  <c r="R20"/>
  <c r="R19"/>
  <c r="R18"/>
  <c r="AA16"/>
  <c r="W49"/>
  <c r="W48"/>
  <c r="W47"/>
  <c r="W46"/>
  <c r="W45"/>
  <c r="W44"/>
  <c r="W43"/>
  <c r="W42"/>
  <c r="W34"/>
  <c r="W33"/>
  <c r="W32"/>
  <c r="W31"/>
  <c r="W30"/>
  <c r="W29"/>
  <c r="W28"/>
  <c r="W27"/>
  <c r="W26"/>
  <c r="W25"/>
  <c r="W24"/>
  <c r="AG24" s="1"/>
  <c r="W23"/>
  <c r="AG23" s="1"/>
  <c r="W22"/>
  <c r="W21"/>
  <c r="AG21" s="1"/>
  <c r="W20"/>
  <c r="W19"/>
  <c r="W18"/>
  <c r="W17"/>
  <c r="W16"/>
  <c r="W15"/>
  <c r="AW26" i="9" l="1"/>
  <c r="D22"/>
  <c r="AW27" l="1"/>
  <c r="D23"/>
  <c r="AW28" l="1"/>
  <c r="D24"/>
  <c r="L34" i="16"/>
  <c r="L33"/>
  <c r="L31"/>
  <c r="L30"/>
  <c r="L28"/>
  <c r="L27"/>
  <c r="L25"/>
  <c r="L24"/>
  <c r="L22"/>
  <c r="L21"/>
  <c r="L20"/>
  <c r="L17"/>
  <c r="L16"/>
  <c r="Z23" i="11"/>
  <c r="Z21"/>
  <c r="Z20"/>
  <c r="Z19"/>
  <c r="Z16"/>
  <c r="F35" i="16"/>
  <c r="F34"/>
  <c r="F33"/>
  <c r="F32"/>
  <c r="F31"/>
  <c r="F30"/>
  <c r="F29"/>
  <c r="F28"/>
  <c r="F27"/>
  <c r="F26"/>
  <c r="F25"/>
  <c r="F24"/>
  <c r="F23"/>
  <c r="F22"/>
  <c r="F21"/>
  <c r="F20"/>
  <c r="F19"/>
  <c r="F18"/>
  <c r="F17"/>
  <c r="F16"/>
  <c r="F15"/>
  <c r="F14"/>
  <c r="F13"/>
  <c r="F12"/>
  <c r="F11"/>
  <c r="F10"/>
  <c r="F9"/>
  <c r="Y19" i="9" l="1"/>
  <c r="Z19"/>
  <c r="Y16"/>
  <c r="Y17"/>
  <c r="Y13"/>
  <c r="Y18"/>
  <c r="Y14"/>
  <c r="Y15"/>
  <c r="Z14"/>
  <c r="Z15"/>
  <c r="Z16"/>
  <c r="Z17"/>
  <c r="Z18"/>
  <c r="AA23" i="1"/>
  <c r="Z17" i="11"/>
  <c r="X13" i="9"/>
  <c r="Z13" s="1"/>
  <c r="K12" i="16"/>
  <c r="AA24" i="1"/>
  <c r="K20" i="16"/>
  <c r="K24"/>
  <c r="K28"/>
  <c r="L9"/>
  <c r="AE23" i="11"/>
  <c r="K33" i="16"/>
  <c r="K9"/>
  <c r="AA21" i="1"/>
  <c r="K13" i="16"/>
  <c r="K17"/>
  <c r="K21"/>
  <c r="K25"/>
  <c r="K10"/>
  <c r="K14"/>
  <c r="K18"/>
  <c r="K22"/>
  <c r="K30"/>
  <c r="K34"/>
  <c r="L12"/>
  <c r="K27"/>
  <c r="K31"/>
  <c r="Y27" i="1" s="1"/>
  <c r="AE16" i="11"/>
  <c r="L13" i="16"/>
  <c r="AW29" i="9"/>
  <c r="D25"/>
  <c r="AA14" l="1"/>
  <c r="AF14" s="1"/>
  <c r="AA15"/>
  <c r="AG15" s="1"/>
  <c r="AA22"/>
  <c r="AH22"/>
  <c r="AA35"/>
  <c r="AH35"/>
  <c r="AA25"/>
  <c r="AH25"/>
  <c r="AA26"/>
  <c r="AH26"/>
  <c r="AA36"/>
  <c r="AH36"/>
  <c r="AA27"/>
  <c r="AH27"/>
  <c r="AA34"/>
  <c r="AH34"/>
  <c r="AA29"/>
  <c r="AH29"/>
  <c r="AA16"/>
  <c r="AG16" s="1"/>
  <c r="AA17"/>
  <c r="AG17" s="1"/>
  <c r="AA31"/>
  <c r="AH31"/>
  <c r="AA37"/>
  <c r="AH37"/>
  <c r="AA42"/>
  <c r="AH42"/>
  <c r="AA39"/>
  <c r="AH39"/>
  <c r="AA21"/>
  <c r="AH21"/>
  <c r="AA41"/>
  <c r="AH41"/>
  <c r="AA28"/>
  <c r="AH28"/>
  <c r="AA19"/>
  <c r="AG19" s="1"/>
  <c r="AA18"/>
  <c r="AG18" s="1"/>
  <c r="AA23"/>
  <c r="AH23"/>
  <c r="AA20"/>
  <c r="AH20"/>
  <c r="AA38"/>
  <c r="AH38"/>
  <c r="AA32"/>
  <c r="AH32"/>
  <c r="AA40"/>
  <c r="AH40"/>
  <c r="AA30"/>
  <c r="AH30"/>
  <c r="AA33"/>
  <c r="AH33"/>
  <c r="AA24"/>
  <c r="AH24"/>
  <c r="AE17" i="11"/>
  <c r="AW30" i="9"/>
  <c r="AA54" i="1"/>
  <c r="AH54" s="1"/>
  <c r="D26" i="9"/>
  <c r="AA15" i="1"/>
  <c r="AG14" i="9" l="1"/>
  <c r="AF15"/>
  <c r="AO15"/>
  <c r="AH15"/>
  <c r="AP15"/>
  <c r="AO14"/>
  <c r="AP14"/>
  <c r="AH19"/>
  <c r="AW19" s="1"/>
  <c r="AP18"/>
  <c r="AO18"/>
  <c r="AO16"/>
  <c r="AP16"/>
  <c r="AO17"/>
  <c r="AP17"/>
  <c r="AF16"/>
  <c r="AH17"/>
  <c r="AF17"/>
  <c r="AF18"/>
  <c r="AH18"/>
  <c r="AH16"/>
  <c r="AA13"/>
  <c r="AG13" s="1"/>
  <c r="AH14"/>
  <c r="AE14" i="11"/>
  <c r="AW31" i="9"/>
  <c r="D27"/>
  <c r="AW18" l="1"/>
  <c r="BA19"/>
  <c r="AH13"/>
  <c r="AF13"/>
  <c r="AG15" i="1"/>
  <c r="AA17"/>
  <c r="AW32" i="9"/>
  <c r="D28"/>
  <c r="Z18" i="1" l="1"/>
  <c r="AA18" s="1"/>
  <c r="BA18" i="9"/>
  <c r="AG16" i="1"/>
  <c r="AW33" i="9"/>
  <c r="D29"/>
  <c r="BE36" i="11"/>
  <c r="BE35"/>
  <c r="BE34"/>
  <c r="BE33"/>
  <c r="BE32"/>
  <c r="BE31"/>
  <c r="BE30"/>
  <c r="BE29"/>
  <c r="BE28"/>
  <c r="BE27"/>
  <c r="BE23"/>
  <c r="BE22"/>
  <c r="BE21"/>
  <c r="BE20"/>
  <c r="BE19"/>
  <c r="BE18"/>
  <c r="BE17"/>
  <c r="BE16"/>
  <c r="BE15"/>
  <c r="AO17" i="1" l="1"/>
  <c r="AP16"/>
  <c r="AO16"/>
  <c r="AF16"/>
  <c r="AW34" i="9"/>
  <c r="D30"/>
  <c r="D9" i="5"/>
  <c r="D17" s="1"/>
  <c r="AG17" i="1" l="1"/>
  <c r="AO18"/>
  <c r="AF17"/>
  <c r="Z19"/>
  <c r="AA19" s="1"/>
  <c r="AP17"/>
  <c r="AW35" i="9"/>
  <c r="D31"/>
  <c r="M20" i="2"/>
  <c r="AG18" i="1" l="1"/>
  <c r="AP18"/>
  <c r="AF18"/>
  <c r="Z20"/>
  <c r="P21"/>
  <c r="P22" s="1"/>
  <c r="AO19"/>
  <c r="AW36" i="9"/>
  <c r="D32"/>
  <c r="P23" i="1" l="1"/>
  <c r="P24" s="1"/>
  <c r="Z22"/>
  <c r="AP19"/>
  <c r="AF19"/>
  <c r="AG19"/>
  <c r="AA20"/>
  <c r="AO20" s="1"/>
  <c r="AW37" i="9"/>
  <c r="D33"/>
  <c r="P25" i="1"/>
  <c r="Z25" s="1"/>
  <c r="AA22" l="1"/>
  <c r="AO22" s="1"/>
  <c r="AG20"/>
  <c r="AA25"/>
  <c r="AG25" s="1"/>
  <c r="AP20"/>
  <c r="AF20"/>
  <c r="AW38" i="9"/>
  <c r="D34"/>
  <c r="D22" i="1"/>
  <c r="P26"/>
  <c r="Z26" s="1"/>
  <c r="AP22" l="1"/>
  <c r="AG22"/>
  <c r="AQ22"/>
  <c r="AF22"/>
  <c r="AA26"/>
  <c r="AG26" s="1"/>
  <c r="AW39" i="9"/>
  <c r="D35"/>
  <c r="D23" i="1"/>
  <c r="P27"/>
  <c r="P35" l="1"/>
  <c r="Z35" s="1"/>
  <c r="Z27"/>
  <c r="AW40" i="9"/>
  <c r="D36"/>
  <c r="D24" i="1"/>
  <c r="AH26"/>
  <c r="P28"/>
  <c r="BM66"/>
  <c r="BM65"/>
  <c r="BM64"/>
  <c r="BM63"/>
  <c r="BM62"/>
  <c r="BM61"/>
  <c r="BM60"/>
  <c r="BM59"/>
  <c r="BM58"/>
  <c r="BM57"/>
  <c r="BM56"/>
  <c r="BM55"/>
  <c r="BM54"/>
  <c r="BM53"/>
  <c r="BM49"/>
  <c r="BM48"/>
  <c r="BM47"/>
  <c r="BM46"/>
  <c r="BM45"/>
  <c r="BM44"/>
  <c r="BM43"/>
  <c r="BM42"/>
  <c r="BM34"/>
  <c r="BM33"/>
  <c r="BM32"/>
  <c r="BM31"/>
  <c r="BM30"/>
  <c r="BM29"/>
  <c r="BM28"/>
  <c r="BM27"/>
  <c r="BM26"/>
  <c r="BM25"/>
  <c r="BM24"/>
  <c r="BM23"/>
  <c r="BM22"/>
  <c r="BM21"/>
  <c r="BM20"/>
  <c r="BM19"/>
  <c r="BM18"/>
  <c r="BM17"/>
  <c r="BM16"/>
  <c r="BM15"/>
  <c r="AC11" i="2"/>
  <c r="AC12"/>
  <c r="AC13"/>
  <c r="AC14"/>
  <c r="AC15"/>
  <c r="AC16"/>
  <c r="AC17"/>
  <c r="AC18"/>
  <c r="AC19"/>
  <c r="AC20"/>
  <c r="AC21"/>
  <c r="AC22"/>
  <c r="AC23"/>
  <c r="AC24"/>
  <c r="AC25"/>
  <c r="AC26"/>
  <c r="AC27"/>
  <c r="AC28"/>
  <c r="AC29"/>
  <c r="AC30"/>
  <c r="AC31"/>
  <c r="AC32"/>
  <c r="AC33"/>
  <c r="AC34"/>
  <c r="AC35"/>
  <c r="AC36"/>
  <c r="AC37"/>
  <c r="AC38"/>
  <c r="AC39"/>
  <c r="AC40"/>
  <c r="AC41"/>
  <c r="AC42"/>
  <c r="AC43"/>
  <c r="AC44"/>
  <c r="AC45"/>
  <c r="AC46"/>
  <c r="AC47"/>
  <c r="AC48"/>
  <c r="AC49"/>
  <c r="AC10"/>
  <c r="BS28" i="1" l="1"/>
  <c r="BX28"/>
  <c r="BO28"/>
  <c r="BR28"/>
  <c r="BV28"/>
  <c r="BT28"/>
  <c r="BQ28"/>
  <c r="BW28"/>
  <c r="BP28"/>
  <c r="BU28"/>
  <c r="BP32"/>
  <c r="BQ32"/>
  <c r="BT32"/>
  <c r="BS32"/>
  <c r="BO32"/>
  <c r="BU32"/>
  <c r="BW32"/>
  <c r="BV32"/>
  <c r="BX32"/>
  <c r="BR32"/>
  <c r="BX43"/>
  <c r="BQ43"/>
  <c r="BR43"/>
  <c r="BV43"/>
  <c r="BP43"/>
  <c r="BS43"/>
  <c r="BO43"/>
  <c r="BT43"/>
  <c r="BU43"/>
  <c r="BW43"/>
  <c r="BR27"/>
  <c r="BO27"/>
  <c r="BU27"/>
  <c r="BX27"/>
  <c r="BT27"/>
  <c r="BP27"/>
  <c r="BW27"/>
  <c r="BQ27"/>
  <c r="BS27"/>
  <c r="BV27"/>
  <c r="BS31"/>
  <c r="BV31"/>
  <c r="BX31"/>
  <c r="BQ31"/>
  <c r="BW31"/>
  <c r="BU31"/>
  <c r="BR31"/>
  <c r="BT31"/>
  <c r="BO31"/>
  <c r="BP31"/>
  <c r="BP42"/>
  <c r="BX42"/>
  <c r="BW42"/>
  <c r="BQ42"/>
  <c r="BV42"/>
  <c r="BS42"/>
  <c r="BU42"/>
  <c r="BR42"/>
  <c r="BT42"/>
  <c r="BO42"/>
  <c r="BX26"/>
  <c r="BV26"/>
  <c r="BR26"/>
  <c r="BS26"/>
  <c r="BT26"/>
  <c r="BO26"/>
  <c r="BQ26"/>
  <c r="BP26"/>
  <c r="BW26"/>
  <c r="BU26"/>
  <c r="BX30"/>
  <c r="BW30"/>
  <c r="BU30"/>
  <c r="BR30"/>
  <c r="BQ30"/>
  <c r="BV30"/>
  <c r="BO30"/>
  <c r="BT30"/>
  <c r="BP30"/>
  <c r="BS30"/>
  <c r="BS34"/>
  <c r="BW34"/>
  <c r="BX34"/>
  <c r="BV34"/>
  <c r="BU34"/>
  <c r="BT34"/>
  <c r="BP34"/>
  <c r="BR34"/>
  <c r="BQ34"/>
  <c r="BO34"/>
  <c r="BW25"/>
  <c r="BO25"/>
  <c r="BQ25"/>
  <c r="BP25"/>
  <c r="BS25"/>
  <c r="BV25"/>
  <c r="BX25"/>
  <c r="BU25"/>
  <c r="BT25"/>
  <c r="BR25"/>
  <c r="BO29"/>
  <c r="BV29"/>
  <c r="BT29"/>
  <c r="BR29"/>
  <c r="BW29"/>
  <c r="BU29"/>
  <c r="BQ29"/>
  <c r="BS29"/>
  <c r="BP29"/>
  <c r="BX29"/>
  <c r="BR33"/>
  <c r="BP33"/>
  <c r="BX33"/>
  <c r="BW33"/>
  <c r="BQ33"/>
  <c r="BS33"/>
  <c r="BV33"/>
  <c r="BT33"/>
  <c r="BU33"/>
  <c r="BO33"/>
  <c r="BX44"/>
  <c r="BR44"/>
  <c r="BW44"/>
  <c r="BS44"/>
  <c r="BT44"/>
  <c r="BO44"/>
  <c r="BQ44"/>
  <c r="BV44"/>
  <c r="BU44"/>
  <c r="BP44"/>
  <c r="AA27"/>
  <c r="AG27" s="1"/>
  <c r="P36"/>
  <c r="Z36" s="1"/>
  <c r="Z28"/>
  <c r="AA35"/>
  <c r="AG35" s="1"/>
  <c r="AW41" i="9"/>
  <c r="D37"/>
  <c r="D25" i="1"/>
  <c r="P29"/>
  <c r="AR20" i="2"/>
  <c r="AQ20"/>
  <c r="AO20"/>
  <c r="AP20"/>
  <c r="AH20"/>
  <c r="AF20"/>
  <c r="AK20"/>
  <c r="AJ20"/>
  <c r="AM20"/>
  <c r="AI20"/>
  <c r="AE20"/>
  <c r="AL20"/>
  <c r="AG20"/>
  <c r="AN20"/>
  <c r="M49"/>
  <c r="M48"/>
  <c r="M47"/>
  <c r="M46"/>
  <c r="M45"/>
  <c r="M44"/>
  <c r="M43"/>
  <c r="M42"/>
  <c r="M41"/>
  <c r="M40"/>
  <c r="M39"/>
  <c r="M38"/>
  <c r="M37"/>
  <c r="M36"/>
  <c r="M35"/>
  <c r="M34"/>
  <c r="M33"/>
  <c r="M32"/>
  <c r="M31"/>
  <c r="M30"/>
  <c r="M29"/>
  <c r="M28"/>
  <c r="M27"/>
  <c r="M26"/>
  <c r="M25"/>
  <c r="M24"/>
  <c r="M23"/>
  <c r="M22"/>
  <c r="M21"/>
  <c r="M19"/>
  <c r="M18"/>
  <c r="M17"/>
  <c r="M16"/>
  <c r="M15"/>
  <c r="M14"/>
  <c r="M10"/>
  <c r="AA28" i="1" l="1"/>
  <c r="AG28" s="1"/>
  <c r="AH35"/>
  <c r="AA36"/>
  <c r="AG36" s="1"/>
  <c r="P37"/>
  <c r="Z37" s="1"/>
  <c r="Z29"/>
  <c r="AW42" i="9"/>
  <c r="AW43"/>
  <c r="AH27" i="1"/>
  <c r="D38" i="9"/>
  <c r="D26" i="1"/>
  <c r="D27" s="1"/>
  <c r="P30"/>
  <c r="AO22" i="2"/>
  <c r="AR22"/>
  <c r="AQ22"/>
  <c r="AP22"/>
  <c r="AL22"/>
  <c r="AH22"/>
  <c r="AM22"/>
  <c r="AI22"/>
  <c r="AE22"/>
  <c r="AG22"/>
  <c r="AN22"/>
  <c r="AF22"/>
  <c r="AK22"/>
  <c r="AJ22"/>
  <c r="AO30"/>
  <c r="AR30"/>
  <c r="AQ30"/>
  <c r="AP30"/>
  <c r="AL30"/>
  <c r="AH30"/>
  <c r="AM30"/>
  <c r="AI30"/>
  <c r="AE30"/>
  <c r="AG30"/>
  <c r="AF30"/>
  <c r="AN30"/>
  <c r="AK30"/>
  <c r="AJ30"/>
  <c r="AO38"/>
  <c r="AR38"/>
  <c r="AQ38"/>
  <c r="AP38"/>
  <c r="AL38"/>
  <c r="AH38"/>
  <c r="AM38"/>
  <c r="AI38"/>
  <c r="AE38"/>
  <c r="AG38"/>
  <c r="AN38"/>
  <c r="AF38"/>
  <c r="AK38"/>
  <c r="AJ38"/>
  <c r="AO46"/>
  <c r="AR46"/>
  <c r="AQ46"/>
  <c r="AP46"/>
  <c r="AL46"/>
  <c r="AH46"/>
  <c r="AM46"/>
  <c r="AI46"/>
  <c r="AE46"/>
  <c r="AG46"/>
  <c r="AN46"/>
  <c r="AF46"/>
  <c r="AK46"/>
  <c r="AJ46"/>
  <c r="AO18"/>
  <c r="AR18"/>
  <c r="AQ18"/>
  <c r="AP18"/>
  <c r="AN18"/>
  <c r="AJ18"/>
  <c r="AF18"/>
  <c r="AK18"/>
  <c r="AG18"/>
  <c r="AM18"/>
  <c r="AE18"/>
  <c r="AL18"/>
  <c r="AI18"/>
  <c r="AH18"/>
  <c r="AO27"/>
  <c r="AR27"/>
  <c r="AQ27"/>
  <c r="AP27"/>
  <c r="AN27"/>
  <c r="AJ27"/>
  <c r="AF27"/>
  <c r="AK27"/>
  <c r="AG27"/>
  <c r="AM27"/>
  <c r="AE27"/>
  <c r="AL27"/>
  <c r="AI27"/>
  <c r="AH27"/>
  <c r="AO35"/>
  <c r="AR35"/>
  <c r="AQ35"/>
  <c r="AP35"/>
  <c r="AN35"/>
  <c r="AJ35"/>
  <c r="AF35"/>
  <c r="AK35"/>
  <c r="AG35"/>
  <c r="AM35"/>
  <c r="AE35"/>
  <c r="AI35"/>
  <c r="AL35"/>
  <c r="AH35"/>
  <c r="AO43"/>
  <c r="AR43"/>
  <c r="AQ43"/>
  <c r="AP43"/>
  <c r="AN43"/>
  <c r="AJ43"/>
  <c r="AF43"/>
  <c r="AK43"/>
  <c r="AG43"/>
  <c r="AM43"/>
  <c r="AE43"/>
  <c r="AL43"/>
  <c r="AI43"/>
  <c r="AH43"/>
  <c r="AO15"/>
  <c r="AR15"/>
  <c r="AQ15"/>
  <c r="AP15"/>
  <c r="AL15"/>
  <c r="AH15"/>
  <c r="AM15"/>
  <c r="AK15"/>
  <c r="AF15"/>
  <c r="AJ15"/>
  <c r="AE15"/>
  <c r="AN15"/>
  <c r="AI15"/>
  <c r="AG15"/>
  <c r="AO19"/>
  <c r="AR19"/>
  <c r="AQ19"/>
  <c r="AP19"/>
  <c r="AL19"/>
  <c r="AH19"/>
  <c r="AM19"/>
  <c r="AI19"/>
  <c r="AE19"/>
  <c r="AK19"/>
  <c r="AJ19"/>
  <c r="AG19"/>
  <c r="AN19"/>
  <c r="AF19"/>
  <c r="AO24"/>
  <c r="AR24"/>
  <c r="AQ24"/>
  <c r="AP24"/>
  <c r="AL24"/>
  <c r="AH24"/>
  <c r="AM24"/>
  <c r="AI24"/>
  <c r="AE24"/>
  <c r="AK24"/>
  <c r="AJ24"/>
  <c r="AN24"/>
  <c r="AG24"/>
  <c r="AF24"/>
  <c r="AO28"/>
  <c r="AR28"/>
  <c r="AQ28"/>
  <c r="AP28"/>
  <c r="AL28"/>
  <c r="AH28"/>
  <c r="AM28"/>
  <c r="AI28"/>
  <c r="AE28"/>
  <c r="AK28"/>
  <c r="AJ28"/>
  <c r="AG28"/>
  <c r="AN28"/>
  <c r="AF28"/>
  <c r="AO32"/>
  <c r="AR32"/>
  <c r="AQ32"/>
  <c r="AP32"/>
  <c r="AL32"/>
  <c r="AH32"/>
  <c r="AM32"/>
  <c r="AI32"/>
  <c r="AE32"/>
  <c r="AK32"/>
  <c r="AJ32"/>
  <c r="AG32"/>
  <c r="AF32"/>
  <c r="AN32"/>
  <c r="AO36"/>
  <c r="AR36"/>
  <c r="AQ36"/>
  <c r="AP36"/>
  <c r="AL36"/>
  <c r="AH36"/>
  <c r="AM36"/>
  <c r="AI36"/>
  <c r="AE36"/>
  <c r="AK36"/>
  <c r="AJ36"/>
  <c r="AG36"/>
  <c r="AN36"/>
  <c r="AF36"/>
  <c r="AO40"/>
  <c r="AR40"/>
  <c r="AQ40"/>
  <c r="AP40"/>
  <c r="AL40"/>
  <c r="AH40"/>
  <c r="AM40"/>
  <c r="AI40"/>
  <c r="AE40"/>
  <c r="AK40"/>
  <c r="AJ40"/>
  <c r="AG40"/>
  <c r="AF40"/>
  <c r="AN40"/>
  <c r="AO44"/>
  <c r="AR44"/>
  <c r="AQ44"/>
  <c r="AP44"/>
  <c r="AL44"/>
  <c r="AH44"/>
  <c r="AM44"/>
  <c r="AI44"/>
  <c r="AE44"/>
  <c r="AK44"/>
  <c r="AG44"/>
  <c r="AJ44"/>
  <c r="AN44"/>
  <c r="AF44"/>
  <c r="AO48"/>
  <c r="AR48"/>
  <c r="AQ48"/>
  <c r="AP48"/>
  <c r="AL48"/>
  <c r="AH48"/>
  <c r="AM48"/>
  <c r="AI48"/>
  <c r="AE48"/>
  <c r="AK48"/>
  <c r="AG48"/>
  <c r="AJ48"/>
  <c r="AF48"/>
  <c r="AN48"/>
  <c r="AO17"/>
  <c r="AR17"/>
  <c r="AQ17"/>
  <c r="AP17"/>
  <c r="AL17"/>
  <c r="AH17"/>
  <c r="AM17"/>
  <c r="AI17"/>
  <c r="AE17"/>
  <c r="AG17"/>
  <c r="AN17"/>
  <c r="AF17"/>
  <c r="AK17"/>
  <c r="AJ17"/>
  <c r="AO26"/>
  <c r="AR26"/>
  <c r="AQ26"/>
  <c r="AP26"/>
  <c r="AL26"/>
  <c r="AH26"/>
  <c r="AM26"/>
  <c r="AI26"/>
  <c r="AE26"/>
  <c r="AG26"/>
  <c r="AN26"/>
  <c r="AF26"/>
  <c r="AK26"/>
  <c r="AJ26"/>
  <c r="AO34"/>
  <c r="AR34"/>
  <c r="AQ34"/>
  <c r="AP34"/>
  <c r="AL34"/>
  <c r="AH34"/>
  <c r="AM34"/>
  <c r="AI34"/>
  <c r="AE34"/>
  <c r="AG34"/>
  <c r="AN34"/>
  <c r="AF34"/>
  <c r="AK34"/>
  <c r="AJ34"/>
  <c r="AO42"/>
  <c r="AR42"/>
  <c r="AQ42"/>
  <c r="AP42"/>
  <c r="AL42"/>
  <c r="AH42"/>
  <c r="AM42"/>
  <c r="AI42"/>
  <c r="AE42"/>
  <c r="AG42"/>
  <c r="AK42"/>
  <c r="AN42"/>
  <c r="AF42"/>
  <c r="AJ42"/>
  <c r="AO14"/>
  <c r="AQ14"/>
  <c r="AP14"/>
  <c r="AR14"/>
  <c r="AL14"/>
  <c r="AH14"/>
  <c r="AK14"/>
  <c r="AG14"/>
  <c r="AN14"/>
  <c r="AF14"/>
  <c r="AE14"/>
  <c r="AI14"/>
  <c r="AM14"/>
  <c r="AJ14"/>
  <c r="AO23"/>
  <c r="AR23"/>
  <c r="AQ23"/>
  <c r="AP23"/>
  <c r="AN23"/>
  <c r="AJ23"/>
  <c r="AF23"/>
  <c r="AK23"/>
  <c r="AG23"/>
  <c r="AM23"/>
  <c r="AE23"/>
  <c r="AL23"/>
  <c r="AI23"/>
  <c r="AH23"/>
  <c r="AO31"/>
  <c r="AR31"/>
  <c r="AQ31"/>
  <c r="AP31"/>
  <c r="AN31"/>
  <c r="AJ31"/>
  <c r="AF31"/>
  <c r="AK31"/>
  <c r="AG31"/>
  <c r="AM31"/>
  <c r="AE31"/>
  <c r="AL31"/>
  <c r="AI31"/>
  <c r="AH31"/>
  <c r="AO39"/>
  <c r="AR39"/>
  <c r="AQ39"/>
  <c r="AP39"/>
  <c r="AN39"/>
  <c r="AJ39"/>
  <c r="AF39"/>
  <c r="AK39"/>
  <c r="AG39"/>
  <c r="AM39"/>
  <c r="AE39"/>
  <c r="AI39"/>
  <c r="AL39"/>
  <c r="AH39"/>
  <c r="AO47"/>
  <c r="AR47"/>
  <c r="AQ47"/>
  <c r="AP47"/>
  <c r="AN47"/>
  <c r="AJ47"/>
  <c r="AF47"/>
  <c r="AK47"/>
  <c r="AG47"/>
  <c r="AM47"/>
  <c r="AE47"/>
  <c r="AI47"/>
  <c r="AL47"/>
  <c r="AH47"/>
  <c r="AO16"/>
  <c r="AR16"/>
  <c r="AQ16"/>
  <c r="AP16"/>
  <c r="AN16"/>
  <c r="AJ16"/>
  <c r="AF16"/>
  <c r="AK16"/>
  <c r="AG16"/>
  <c r="AI16"/>
  <c r="AH16"/>
  <c r="AE16"/>
  <c r="AL16"/>
  <c r="AM16"/>
  <c r="AO21"/>
  <c r="AR21"/>
  <c r="AQ21"/>
  <c r="AP21"/>
  <c r="AN21"/>
  <c r="AJ21"/>
  <c r="AF21"/>
  <c r="AK21"/>
  <c r="AG21"/>
  <c r="AI21"/>
  <c r="AH21"/>
  <c r="AM21"/>
  <c r="AL21"/>
  <c r="AE21"/>
  <c r="AO25"/>
  <c r="AR25"/>
  <c r="AQ25"/>
  <c r="AP25"/>
  <c r="AN25"/>
  <c r="AJ25"/>
  <c r="AF25"/>
  <c r="AK25"/>
  <c r="AG25"/>
  <c r="AI25"/>
  <c r="AH25"/>
  <c r="AE25"/>
  <c r="AM25"/>
  <c r="AL25"/>
  <c r="AO29"/>
  <c r="AR29"/>
  <c r="AQ29"/>
  <c r="AP29"/>
  <c r="AN29"/>
  <c r="AJ29"/>
  <c r="AF29"/>
  <c r="AK29"/>
  <c r="AG29"/>
  <c r="AI29"/>
  <c r="AH29"/>
  <c r="AM29"/>
  <c r="AE29"/>
  <c r="AL29"/>
  <c r="AO33"/>
  <c r="AR33"/>
  <c r="AQ33"/>
  <c r="AP33"/>
  <c r="AN33"/>
  <c r="AJ33"/>
  <c r="AF33"/>
  <c r="AK33"/>
  <c r="AG33"/>
  <c r="AI33"/>
  <c r="AH33"/>
  <c r="AE33"/>
  <c r="AM33"/>
  <c r="AL33"/>
  <c r="AO37"/>
  <c r="AR37"/>
  <c r="AQ37"/>
  <c r="AP37"/>
  <c r="AN37"/>
  <c r="AJ37"/>
  <c r="AF37"/>
  <c r="AK37"/>
  <c r="AG37"/>
  <c r="AI37"/>
  <c r="AM37"/>
  <c r="AE37"/>
  <c r="AH37"/>
  <c r="AL37"/>
  <c r="AO41"/>
  <c r="AR41"/>
  <c r="AQ41"/>
  <c r="AP41"/>
  <c r="AN41"/>
  <c r="AJ41"/>
  <c r="AF41"/>
  <c r="AK41"/>
  <c r="AG41"/>
  <c r="AI41"/>
  <c r="AE41"/>
  <c r="AH41"/>
  <c r="AM41"/>
  <c r="AL41"/>
  <c r="AO45"/>
  <c r="AR45"/>
  <c r="AQ45"/>
  <c r="AP45"/>
  <c r="AN45"/>
  <c r="AJ45"/>
  <c r="AF45"/>
  <c r="AK45"/>
  <c r="AG45"/>
  <c r="AI45"/>
  <c r="AM45"/>
  <c r="AH45"/>
  <c r="AE45"/>
  <c r="AL45"/>
  <c r="AO49"/>
  <c r="AR49"/>
  <c r="AQ49"/>
  <c r="AP49"/>
  <c r="AN49"/>
  <c r="AJ49"/>
  <c r="AF49"/>
  <c r="AK49"/>
  <c r="AG49"/>
  <c r="AI49"/>
  <c r="AM49"/>
  <c r="AH49"/>
  <c r="AE49"/>
  <c r="AL49"/>
  <c r="AP10"/>
  <c r="AO10"/>
  <c r="AR10"/>
  <c r="AQ10"/>
  <c r="AK10"/>
  <c r="AG10"/>
  <c r="AN10"/>
  <c r="AJ10"/>
  <c r="AF10"/>
  <c r="AM10"/>
  <c r="AI10"/>
  <c r="AL10"/>
  <c r="AH10"/>
  <c r="AE10"/>
  <c r="AH28" i="1" l="1"/>
  <c r="AA29"/>
  <c r="AH29" s="1"/>
  <c r="AH36"/>
  <c r="D28"/>
  <c r="D35"/>
  <c r="P38"/>
  <c r="Z38" s="1"/>
  <c r="Z30"/>
  <c r="AA37"/>
  <c r="AG37" s="1"/>
  <c r="D39" i="9"/>
  <c r="P31" i="1"/>
  <c r="AZ94" i="9"/>
  <c r="AZ72"/>
  <c r="B38" i="12"/>
  <c r="B37"/>
  <c r="B36"/>
  <c r="B35"/>
  <c r="B34"/>
  <c r="B33"/>
  <c r="B32"/>
  <c r="B31"/>
  <c r="B30"/>
  <c r="B29"/>
  <c r="B28"/>
  <c r="B27"/>
  <c r="B26"/>
  <c r="B25"/>
  <c r="B24"/>
  <c r="BB8" i="9"/>
  <c r="BC8"/>
  <c r="BD8"/>
  <c r="BE8"/>
  <c r="BF8"/>
  <c r="BG8"/>
  <c r="BH8"/>
  <c r="BI8"/>
  <c r="BJ8"/>
  <c r="BK8"/>
  <c r="BL8"/>
  <c r="BM8"/>
  <c r="BN8"/>
  <c r="BO8"/>
  <c r="BA8"/>
  <c r="N56" i="4"/>
  <c r="N59" s="1"/>
  <c r="O56"/>
  <c r="O59" s="1"/>
  <c r="P56"/>
  <c r="P59" s="1"/>
  <c r="Q56"/>
  <c r="Q59" s="1"/>
  <c r="R56"/>
  <c r="R59" s="1"/>
  <c r="E56"/>
  <c r="F56"/>
  <c r="F59" s="1"/>
  <c r="G56"/>
  <c r="G59" s="1"/>
  <c r="H56"/>
  <c r="H59" s="1"/>
  <c r="I56"/>
  <c r="I59" s="1"/>
  <c r="J56"/>
  <c r="J59" s="1"/>
  <c r="K56"/>
  <c r="K59" s="1"/>
  <c r="L56"/>
  <c r="L59" s="1"/>
  <c r="M56"/>
  <c r="M59" s="1"/>
  <c r="D56"/>
  <c r="D59" s="1"/>
  <c r="AZ85" i="9" l="1"/>
  <c r="BA85"/>
  <c r="AH37" i="1"/>
  <c r="AG29"/>
  <c r="AA30"/>
  <c r="AG30" s="1"/>
  <c r="AA38"/>
  <c r="AH38" s="1"/>
  <c r="D29"/>
  <c r="D36"/>
  <c r="P39"/>
  <c r="Z39" s="1"/>
  <c r="Z31"/>
  <c r="BA104" i="9"/>
  <c r="AZ76"/>
  <c r="BL43"/>
  <c r="BL39"/>
  <c r="BL35"/>
  <c r="BL31"/>
  <c r="BL27"/>
  <c r="BL23"/>
  <c r="BL40"/>
  <c r="BL36"/>
  <c r="BL32"/>
  <c r="BL28"/>
  <c r="BL24"/>
  <c r="BL41"/>
  <c r="BL37"/>
  <c r="BL33"/>
  <c r="BL29"/>
  <c r="BL25"/>
  <c r="BL42"/>
  <c r="BL38"/>
  <c r="BL34"/>
  <c r="BL30"/>
  <c r="BL26"/>
  <c r="BL19"/>
  <c r="BL15"/>
  <c r="BL20"/>
  <c r="BL16"/>
  <c r="BL21"/>
  <c r="BL17"/>
  <c r="BL13"/>
  <c r="BL22"/>
  <c r="BL18"/>
  <c r="BL14"/>
  <c r="BO42"/>
  <c r="BO38"/>
  <c r="BO34"/>
  <c r="BO30"/>
  <c r="BO26"/>
  <c r="BO43"/>
  <c r="BO39"/>
  <c r="BO35"/>
  <c r="BO31"/>
  <c r="BO27"/>
  <c r="BO23"/>
  <c r="BO40"/>
  <c r="BO36"/>
  <c r="BO32"/>
  <c r="BO28"/>
  <c r="BO24"/>
  <c r="BO41"/>
  <c r="BO37"/>
  <c r="BO33"/>
  <c r="BO29"/>
  <c r="BO25"/>
  <c r="BO22"/>
  <c r="BO18"/>
  <c r="BO14"/>
  <c r="BO19"/>
  <c r="BO15"/>
  <c r="BO20"/>
  <c r="BO16"/>
  <c r="BO21"/>
  <c r="BO17"/>
  <c r="BO13"/>
  <c r="BK42"/>
  <c r="BK38"/>
  <c r="BK34"/>
  <c r="BK30"/>
  <c r="BK26"/>
  <c r="BK43"/>
  <c r="BK39"/>
  <c r="BK35"/>
  <c r="BK31"/>
  <c r="BK27"/>
  <c r="BK23"/>
  <c r="BK40"/>
  <c r="BK36"/>
  <c r="BK32"/>
  <c r="BK28"/>
  <c r="BK24"/>
  <c r="BK41"/>
  <c r="BK37"/>
  <c r="BK33"/>
  <c r="BK29"/>
  <c r="BK25"/>
  <c r="BK22"/>
  <c r="BK18"/>
  <c r="BK14"/>
  <c r="BK19"/>
  <c r="BK15"/>
  <c r="BK20"/>
  <c r="BK16"/>
  <c r="BK21"/>
  <c r="BK17"/>
  <c r="BK13"/>
  <c r="BG42"/>
  <c r="BG38"/>
  <c r="BG34"/>
  <c r="BG30"/>
  <c r="BG26"/>
  <c r="BG43"/>
  <c r="BG39"/>
  <c r="BG35"/>
  <c r="BG31"/>
  <c r="BG27"/>
  <c r="BG23"/>
  <c r="BG40"/>
  <c r="BG36"/>
  <c r="BG32"/>
  <c r="BG28"/>
  <c r="BG24"/>
  <c r="BG41"/>
  <c r="BG37"/>
  <c r="BG33"/>
  <c r="BG29"/>
  <c r="BG25"/>
  <c r="BG22"/>
  <c r="BG18"/>
  <c r="BG14"/>
  <c r="BG19"/>
  <c r="BG15"/>
  <c r="BG20"/>
  <c r="BG16"/>
  <c r="BG21"/>
  <c r="BG17"/>
  <c r="BG13"/>
  <c r="BC42"/>
  <c r="BC38"/>
  <c r="BC34"/>
  <c r="BC30"/>
  <c r="BC26"/>
  <c r="BC43"/>
  <c r="BC39"/>
  <c r="BC35"/>
  <c r="BC31"/>
  <c r="BC27"/>
  <c r="BC40"/>
  <c r="BC36"/>
  <c r="BC32"/>
  <c r="BC28"/>
  <c r="BC24"/>
  <c r="BC41"/>
  <c r="BC37"/>
  <c r="BC33"/>
  <c r="BC29"/>
  <c r="BC25"/>
  <c r="BC22"/>
  <c r="BC18"/>
  <c r="BC14"/>
  <c r="BC23"/>
  <c r="BC19"/>
  <c r="BC15"/>
  <c r="BC20"/>
  <c r="BC16"/>
  <c r="BC21"/>
  <c r="BC17"/>
  <c r="BC13"/>
  <c r="BN41"/>
  <c r="BN37"/>
  <c r="BN33"/>
  <c r="BN29"/>
  <c r="BN25"/>
  <c r="BN42"/>
  <c r="BN38"/>
  <c r="BN34"/>
  <c r="BN30"/>
  <c r="BN26"/>
  <c r="BN43"/>
  <c r="BN39"/>
  <c r="BN35"/>
  <c r="BN31"/>
  <c r="BN27"/>
  <c r="BN23"/>
  <c r="BN40"/>
  <c r="BN36"/>
  <c r="BN32"/>
  <c r="BN28"/>
  <c r="BN24"/>
  <c r="BN21"/>
  <c r="BN17"/>
  <c r="BN13"/>
  <c r="BN22"/>
  <c r="BN18"/>
  <c r="BN14"/>
  <c r="BN19"/>
  <c r="BN15"/>
  <c r="BN20"/>
  <c r="BN16"/>
  <c r="BJ41"/>
  <c r="BJ37"/>
  <c r="BJ33"/>
  <c r="BJ29"/>
  <c r="BJ25"/>
  <c r="BJ42"/>
  <c r="BJ38"/>
  <c r="BJ34"/>
  <c r="BJ30"/>
  <c r="BJ26"/>
  <c r="BJ43"/>
  <c r="BJ39"/>
  <c r="BJ35"/>
  <c r="BJ31"/>
  <c r="BJ27"/>
  <c r="BJ23"/>
  <c r="BJ40"/>
  <c r="BJ36"/>
  <c r="BJ32"/>
  <c r="BJ28"/>
  <c r="BJ24"/>
  <c r="BJ21"/>
  <c r="BJ17"/>
  <c r="BJ13"/>
  <c r="BJ22"/>
  <c r="BJ18"/>
  <c r="BJ14"/>
  <c r="BJ19"/>
  <c r="BJ15"/>
  <c r="BJ20"/>
  <c r="BJ16"/>
  <c r="BF41"/>
  <c r="BF37"/>
  <c r="BF33"/>
  <c r="BF29"/>
  <c r="BF25"/>
  <c r="BF42"/>
  <c r="BF38"/>
  <c r="BF34"/>
  <c r="BF30"/>
  <c r="BF26"/>
  <c r="BF43"/>
  <c r="BF39"/>
  <c r="BF35"/>
  <c r="BF31"/>
  <c r="BF27"/>
  <c r="BF40"/>
  <c r="BF36"/>
  <c r="BF32"/>
  <c r="BF28"/>
  <c r="BF24"/>
  <c r="BF21"/>
  <c r="BF17"/>
  <c r="BF13"/>
  <c r="BF22"/>
  <c r="BF18"/>
  <c r="BF14"/>
  <c r="BF23"/>
  <c r="BF19"/>
  <c r="BF15"/>
  <c r="BF20"/>
  <c r="BF16"/>
  <c r="BB41"/>
  <c r="BB37"/>
  <c r="BB33"/>
  <c r="BB29"/>
  <c r="BB25"/>
  <c r="BB42"/>
  <c r="BB38"/>
  <c r="BB34"/>
  <c r="BB30"/>
  <c r="BB26"/>
  <c r="BB43"/>
  <c r="BB39"/>
  <c r="BB35"/>
  <c r="BB31"/>
  <c r="BB27"/>
  <c r="BB40"/>
  <c r="BB36"/>
  <c r="BB32"/>
  <c r="BB28"/>
  <c r="BB24"/>
  <c r="BB21"/>
  <c r="BB17"/>
  <c r="BB13"/>
  <c r="BB22"/>
  <c r="BB18"/>
  <c r="BB23"/>
  <c r="BB19"/>
  <c r="BB15"/>
  <c r="BB20"/>
  <c r="BB16"/>
  <c r="BM40"/>
  <c r="BM36"/>
  <c r="BM32"/>
  <c r="BM28"/>
  <c r="BM24"/>
  <c r="BM41"/>
  <c r="BM37"/>
  <c r="BM33"/>
  <c r="BM29"/>
  <c r="BM25"/>
  <c r="BM42"/>
  <c r="BM38"/>
  <c r="BM34"/>
  <c r="BM30"/>
  <c r="BM26"/>
  <c r="BM43"/>
  <c r="BM39"/>
  <c r="BM35"/>
  <c r="BM31"/>
  <c r="BM27"/>
  <c r="BM23"/>
  <c r="BM20"/>
  <c r="BM16"/>
  <c r="BM21"/>
  <c r="BM17"/>
  <c r="BM13"/>
  <c r="BM22"/>
  <c r="BM18"/>
  <c r="BM14"/>
  <c r="BM19"/>
  <c r="BM15"/>
  <c r="BI40"/>
  <c r="BI36"/>
  <c r="BI32"/>
  <c r="BI28"/>
  <c r="BI24"/>
  <c r="BI41"/>
  <c r="BI37"/>
  <c r="BI33"/>
  <c r="BI29"/>
  <c r="BI25"/>
  <c r="BI42"/>
  <c r="BI38"/>
  <c r="BI34"/>
  <c r="BI30"/>
  <c r="BI26"/>
  <c r="BI43"/>
  <c r="BI39"/>
  <c r="BI35"/>
  <c r="BI31"/>
  <c r="BI27"/>
  <c r="BI23"/>
  <c r="BI20"/>
  <c r="BI16"/>
  <c r="BI21"/>
  <c r="BI17"/>
  <c r="BI13"/>
  <c r="BI22"/>
  <c r="BI18"/>
  <c r="BI14"/>
  <c r="BI19"/>
  <c r="BI15"/>
  <c r="BE40"/>
  <c r="BE36"/>
  <c r="BE32"/>
  <c r="BE28"/>
  <c r="BE24"/>
  <c r="BE41"/>
  <c r="BE37"/>
  <c r="BE33"/>
  <c r="BE29"/>
  <c r="BE25"/>
  <c r="BE42"/>
  <c r="BE38"/>
  <c r="BE34"/>
  <c r="BE30"/>
  <c r="BE26"/>
  <c r="BE43"/>
  <c r="BE39"/>
  <c r="BE35"/>
  <c r="BE31"/>
  <c r="BE27"/>
  <c r="BE20"/>
  <c r="BE16"/>
  <c r="BE21"/>
  <c r="BE17"/>
  <c r="BE13"/>
  <c r="BE22"/>
  <c r="BE18"/>
  <c r="BE14"/>
  <c r="BE23"/>
  <c r="BE19"/>
  <c r="BE15"/>
  <c r="BA40"/>
  <c r="BA36"/>
  <c r="BA32"/>
  <c r="BA28"/>
  <c r="BA24"/>
  <c r="BA41"/>
  <c r="BA37"/>
  <c r="BA33"/>
  <c r="BA29"/>
  <c r="BA25"/>
  <c r="BA42"/>
  <c r="BA38"/>
  <c r="BA34"/>
  <c r="BA30"/>
  <c r="BA26"/>
  <c r="BA43"/>
  <c r="BA39"/>
  <c r="BA35"/>
  <c r="BA31"/>
  <c r="BA27"/>
  <c r="BA20"/>
  <c r="BA21"/>
  <c r="BA22"/>
  <c r="BA23"/>
  <c r="BH43"/>
  <c r="BH39"/>
  <c r="BH35"/>
  <c r="BH31"/>
  <c r="BH27"/>
  <c r="BH23"/>
  <c r="BH40"/>
  <c r="BH36"/>
  <c r="BH32"/>
  <c r="BH28"/>
  <c r="BH24"/>
  <c r="BH41"/>
  <c r="BH37"/>
  <c r="BH33"/>
  <c r="BH29"/>
  <c r="BH25"/>
  <c r="BH42"/>
  <c r="BH38"/>
  <c r="BH34"/>
  <c r="BH30"/>
  <c r="BH26"/>
  <c r="BH19"/>
  <c r="BH15"/>
  <c r="BH20"/>
  <c r="BH16"/>
  <c r="BH21"/>
  <c r="BH17"/>
  <c r="BH13"/>
  <c r="BH22"/>
  <c r="BH18"/>
  <c r="BH14"/>
  <c r="BD43"/>
  <c r="BD39"/>
  <c r="BD35"/>
  <c r="BD31"/>
  <c r="BD27"/>
  <c r="BD40"/>
  <c r="BD36"/>
  <c r="BD32"/>
  <c r="BD28"/>
  <c r="BD24"/>
  <c r="BD41"/>
  <c r="BD37"/>
  <c r="BD33"/>
  <c r="BD29"/>
  <c r="BD25"/>
  <c r="BD42"/>
  <c r="BD38"/>
  <c r="BD34"/>
  <c r="BD30"/>
  <c r="BD26"/>
  <c r="BD23"/>
  <c r="BD19"/>
  <c r="BD15"/>
  <c r="BD20"/>
  <c r="BD16"/>
  <c r="BD21"/>
  <c r="BD17"/>
  <c r="BD13"/>
  <c r="BD22"/>
  <c r="BD18"/>
  <c r="BD14"/>
  <c r="D40"/>
  <c r="P32" i="1"/>
  <c r="BM76" i="9"/>
  <c r="S56" i="4"/>
  <c r="BI76" i="9"/>
  <c r="E59" i="4"/>
  <c r="BN75" i="9"/>
  <c r="BE76"/>
  <c r="BM75"/>
  <c r="BL75"/>
  <c r="BL76"/>
  <c r="BH75"/>
  <c r="BH76"/>
  <c r="BD75"/>
  <c r="BD76"/>
  <c r="BG75"/>
  <c r="BG76"/>
  <c r="BC75"/>
  <c r="BC76"/>
  <c r="BJ75"/>
  <c r="BF75"/>
  <c r="BE75"/>
  <c r="BI75"/>
  <c r="BO76"/>
  <c r="BK76"/>
  <c r="BO75"/>
  <c r="BK75"/>
  <c r="BN76"/>
  <c r="BJ76"/>
  <c r="BF76"/>
  <c r="M59" i="5"/>
  <c r="L59"/>
  <c r="K59"/>
  <c r="J59"/>
  <c r="I59"/>
  <c r="H59"/>
  <c r="G59"/>
  <c r="F59"/>
  <c r="E59"/>
  <c r="D59"/>
  <c r="P31" i="8"/>
  <c r="O31"/>
  <c r="N31"/>
  <c r="AZ80" i="9" s="1"/>
  <c r="M31" i="8"/>
  <c r="AY10" i="11" s="1"/>
  <c r="L31" i="8"/>
  <c r="K31"/>
  <c r="J31"/>
  <c r="I31"/>
  <c r="H31"/>
  <c r="G31"/>
  <c r="F31"/>
  <c r="E31"/>
  <c r="D31"/>
  <c r="C31"/>
  <c r="D37" i="5" s="1"/>
  <c r="M11" i="2"/>
  <c r="M12"/>
  <c r="Q11" i="6"/>
  <c r="AH30" i="1" l="1"/>
  <c r="AG38"/>
  <c r="AA31"/>
  <c r="AG31" s="1"/>
  <c r="P40"/>
  <c r="Z40" s="1"/>
  <c r="Z32"/>
  <c r="AA39"/>
  <c r="AG39" s="1"/>
  <c r="D30"/>
  <c r="D37"/>
  <c r="AZ27" i="9"/>
  <c r="AZ43"/>
  <c r="AZ38"/>
  <c r="AZ33"/>
  <c r="AZ28"/>
  <c r="AZ18"/>
  <c r="AZ21"/>
  <c r="AZ31"/>
  <c r="AZ26"/>
  <c r="AZ42"/>
  <c r="AZ37"/>
  <c r="AZ32"/>
  <c r="AZ19"/>
  <c r="AZ22"/>
  <c r="AZ35"/>
  <c r="AZ30"/>
  <c r="AZ25"/>
  <c r="AZ41"/>
  <c r="AZ36"/>
  <c r="AZ23"/>
  <c r="AZ20"/>
  <c r="AZ39"/>
  <c r="AZ34"/>
  <c r="AZ29"/>
  <c r="AZ24"/>
  <c r="AZ40"/>
  <c r="D41"/>
  <c r="P33" i="1"/>
  <c r="AO12" i="2"/>
  <c r="AR12"/>
  <c r="AQ12"/>
  <c r="AP12"/>
  <c r="AL12"/>
  <c r="AH12"/>
  <c r="AK12"/>
  <c r="AG12"/>
  <c r="AJ12"/>
  <c r="AI12"/>
  <c r="AF12"/>
  <c r="AE12"/>
  <c r="AN12"/>
  <c r="AM12"/>
  <c r="AO11"/>
  <c r="AQ11"/>
  <c r="AP11"/>
  <c r="AR11"/>
  <c r="AN11"/>
  <c r="AJ11"/>
  <c r="AF11"/>
  <c r="AI11"/>
  <c r="AE11"/>
  <c r="AM11"/>
  <c r="AL11"/>
  <c r="AK11"/>
  <c r="AH11"/>
  <c r="AG11"/>
  <c r="S59" i="4"/>
  <c r="BC24" i="11"/>
  <c r="AH31" i="1" l="1"/>
  <c r="AA32"/>
  <c r="AG32" s="1"/>
  <c r="AH39"/>
  <c r="D31"/>
  <c r="D38"/>
  <c r="P41"/>
  <c r="Z41" s="1"/>
  <c r="Z33"/>
  <c r="AA40"/>
  <c r="AH40" s="1"/>
  <c r="D42" i="9"/>
  <c r="P34" i="1"/>
  <c r="Z34" s="1"/>
  <c r="CA58"/>
  <c r="BW58"/>
  <c r="BS58"/>
  <c r="BO58"/>
  <c r="BZ58"/>
  <c r="BV58"/>
  <c r="BR58"/>
  <c r="BY58"/>
  <c r="BQ58"/>
  <c r="BX58"/>
  <c r="BP58"/>
  <c r="BU58"/>
  <c r="CB58"/>
  <c r="BT58"/>
  <c r="CA62"/>
  <c r="BW62"/>
  <c r="BS62"/>
  <c r="BO62"/>
  <c r="BZ62"/>
  <c r="BV62"/>
  <c r="BR62"/>
  <c r="BY62"/>
  <c r="BQ62"/>
  <c r="BX62"/>
  <c r="BP62"/>
  <c r="BU62"/>
  <c r="CB62"/>
  <c r="BT62"/>
  <c r="CA66"/>
  <c r="BW66"/>
  <c r="BS66"/>
  <c r="BO66"/>
  <c r="BZ66"/>
  <c r="BV66"/>
  <c r="BR66"/>
  <c r="BY66"/>
  <c r="BQ66"/>
  <c r="BX66"/>
  <c r="BP66"/>
  <c r="BU66"/>
  <c r="CB66"/>
  <c r="BT66"/>
  <c r="BY55"/>
  <c r="BU55"/>
  <c r="BQ55"/>
  <c r="CB55"/>
  <c r="BX55"/>
  <c r="CA55"/>
  <c r="BT55"/>
  <c r="BO55"/>
  <c r="BZ55"/>
  <c r="BS55"/>
  <c r="BW55"/>
  <c r="BR55"/>
  <c r="BV55"/>
  <c r="BP55"/>
  <c r="BY59"/>
  <c r="BU59"/>
  <c r="BQ59"/>
  <c r="CB59"/>
  <c r="BX59"/>
  <c r="BT59"/>
  <c r="BP59"/>
  <c r="CA59"/>
  <c r="BS59"/>
  <c r="BZ59"/>
  <c r="BR59"/>
  <c r="BW59"/>
  <c r="BO59"/>
  <c r="BV59"/>
  <c r="BY63"/>
  <c r="BU63"/>
  <c r="BQ63"/>
  <c r="CB63"/>
  <c r="BX63"/>
  <c r="BT63"/>
  <c r="BP63"/>
  <c r="CA63"/>
  <c r="BS63"/>
  <c r="BZ63"/>
  <c r="BR63"/>
  <c r="BW63"/>
  <c r="BO63"/>
  <c r="BV63"/>
  <c r="CA56"/>
  <c r="BW56"/>
  <c r="BS56"/>
  <c r="BO56"/>
  <c r="BZ56"/>
  <c r="BV56"/>
  <c r="BR56"/>
  <c r="BU56"/>
  <c r="CB56"/>
  <c r="BT56"/>
  <c r="BY56"/>
  <c r="BQ56"/>
  <c r="BX56"/>
  <c r="BP56"/>
  <c r="CA60"/>
  <c r="BW60"/>
  <c r="BS60"/>
  <c r="BO60"/>
  <c r="BZ60"/>
  <c r="BV60"/>
  <c r="BR60"/>
  <c r="BU60"/>
  <c r="CB60"/>
  <c r="BT60"/>
  <c r="BY60"/>
  <c r="BQ60"/>
  <c r="BX60"/>
  <c r="BP60"/>
  <c r="CA64"/>
  <c r="BW64"/>
  <c r="BS64"/>
  <c r="BO64"/>
  <c r="BZ64"/>
  <c r="BV64"/>
  <c r="BR64"/>
  <c r="BU64"/>
  <c r="CB64"/>
  <c r="BT64"/>
  <c r="BY64"/>
  <c r="BQ64"/>
  <c r="BX64"/>
  <c r="BP64"/>
  <c r="BY57"/>
  <c r="BU57"/>
  <c r="BQ57"/>
  <c r="CB57"/>
  <c r="BX57"/>
  <c r="BT57"/>
  <c r="BP57"/>
  <c r="BW57"/>
  <c r="BO57"/>
  <c r="BV57"/>
  <c r="CA57"/>
  <c r="BS57"/>
  <c r="BZ57"/>
  <c r="BR57"/>
  <c r="BX61"/>
  <c r="BY61"/>
  <c r="BU61"/>
  <c r="BQ61"/>
  <c r="CB61"/>
  <c r="BT61"/>
  <c r="BP61"/>
  <c r="BW61"/>
  <c r="BO61"/>
  <c r="BV61"/>
  <c r="CA61"/>
  <c r="BS61"/>
  <c r="BZ61"/>
  <c r="BR61"/>
  <c r="BY65"/>
  <c r="BU65"/>
  <c r="BQ65"/>
  <c r="CB65"/>
  <c r="BX65"/>
  <c r="BT65"/>
  <c r="BP65"/>
  <c r="BW65"/>
  <c r="BO65"/>
  <c r="BV65"/>
  <c r="CA65"/>
  <c r="BS65"/>
  <c r="BZ65"/>
  <c r="BR65"/>
  <c r="AH32" l="1"/>
  <c r="AG40"/>
  <c r="AA34"/>
  <c r="AG34" s="1"/>
  <c r="AA33"/>
  <c r="AG33" s="1"/>
  <c r="AA41"/>
  <c r="AH41" s="1"/>
  <c r="D32"/>
  <c r="D39"/>
  <c r="D43" i="9"/>
  <c r="P42" i="1"/>
  <c r="Z42" s="1"/>
  <c r="D38" i="12"/>
  <c r="D37"/>
  <c r="D36"/>
  <c r="D35"/>
  <c r="D34"/>
  <c r="D33"/>
  <c r="D32"/>
  <c r="D31"/>
  <c r="D30"/>
  <c r="D29"/>
  <c r="D28"/>
  <c r="D27"/>
  <c r="D26"/>
  <c r="D25"/>
  <c r="D24"/>
  <c r="P8" i="3"/>
  <c r="M9" i="8"/>
  <c r="Y9" i="2"/>
  <c r="AO9" s="1"/>
  <c r="AD8" i="6"/>
  <c r="AT9" s="1"/>
  <c r="BI9" i="1"/>
  <c r="BY9" s="1"/>
  <c r="AA42" l="1"/>
  <c r="AG42" s="1"/>
  <c r="AG41"/>
  <c r="D33"/>
  <c r="D40"/>
  <c r="AH34"/>
  <c r="AH33"/>
  <c r="P43"/>
  <c r="Z43" s="1"/>
  <c r="AN1" i="6"/>
  <c r="AU66" i="1"/>
  <c r="AU65"/>
  <c r="AU64"/>
  <c r="AU63"/>
  <c r="AU62"/>
  <c r="AU61"/>
  <c r="AU60"/>
  <c r="AU59"/>
  <c r="AU58"/>
  <c r="AU57"/>
  <c r="AU56"/>
  <c r="AU55"/>
  <c r="AU54"/>
  <c r="AW54" s="1"/>
  <c r="AU53"/>
  <c r="AU49"/>
  <c r="AU48"/>
  <c r="AU47"/>
  <c r="AU46"/>
  <c r="AU45"/>
  <c r="AU44"/>
  <c r="AU43"/>
  <c r="AU42"/>
  <c r="AU34"/>
  <c r="AU33"/>
  <c r="AU32"/>
  <c r="AU31"/>
  <c r="AU30"/>
  <c r="AU29"/>
  <c r="AU28"/>
  <c r="AU27"/>
  <c r="AU26"/>
  <c r="AU25"/>
  <c r="AU24"/>
  <c r="AU23"/>
  <c r="AU22"/>
  <c r="AU21"/>
  <c r="AU20"/>
  <c r="AU19"/>
  <c r="AU18"/>
  <c r="AU17"/>
  <c r="AU16"/>
  <c r="AU15"/>
  <c r="AT49"/>
  <c r="AT48"/>
  <c r="AT15"/>
  <c r="AT16"/>
  <c r="AT17"/>
  <c r="AT18"/>
  <c r="AT19"/>
  <c r="AT20"/>
  <c r="AT21"/>
  <c r="AT22"/>
  <c r="AT23"/>
  <c r="AT24"/>
  <c r="AT25"/>
  <c r="AT26"/>
  <c r="AT27"/>
  <c r="AT28"/>
  <c r="AT29"/>
  <c r="AT30"/>
  <c r="AT31"/>
  <c r="AT32"/>
  <c r="AT33"/>
  <c r="AT34"/>
  <c r="AT42"/>
  <c r="AT43"/>
  <c r="AT44"/>
  <c r="AT45"/>
  <c r="AT46"/>
  <c r="AT47"/>
  <c r="AA43" l="1"/>
  <c r="AG43" s="1"/>
  <c r="D34"/>
  <c r="D42" s="1"/>
  <c r="D43" s="1"/>
  <c r="D44" s="1"/>
  <c r="D45" s="1"/>
  <c r="D46" s="1"/>
  <c r="D47" s="1"/>
  <c r="D48" s="1"/>
  <c r="D49" s="1"/>
  <c r="D41"/>
  <c r="AO42"/>
  <c r="CA54"/>
  <c r="BW54"/>
  <c r="BR54"/>
  <c r="BZ54"/>
  <c r="BT54"/>
  <c r="CB54"/>
  <c r="BU54"/>
  <c r="BV54"/>
  <c r="BX54"/>
  <c r="BY54"/>
  <c r="BS54"/>
  <c r="BO54"/>
  <c r="BP54"/>
  <c r="BQ54"/>
  <c r="P44"/>
  <c r="Z44" s="1"/>
  <c r="AA44" l="1"/>
  <c r="AG44" s="1"/>
  <c r="AH42"/>
  <c r="P45"/>
  <c r="Z45" s="1"/>
  <c r="BG27" i="11"/>
  <c r="BG28"/>
  <c r="BG29"/>
  <c r="BG30"/>
  <c r="BG31"/>
  <c r="BG32"/>
  <c r="BG33"/>
  <c r="BG34"/>
  <c r="BG35"/>
  <c r="BG36"/>
  <c r="BG14"/>
  <c r="BG15"/>
  <c r="BG16"/>
  <c r="BG17"/>
  <c r="BG18"/>
  <c r="BG19"/>
  <c r="BG20"/>
  <c r="BG21"/>
  <c r="BG22"/>
  <c r="BG23"/>
  <c r="BH36"/>
  <c r="BH35"/>
  <c r="BH34"/>
  <c r="BH33"/>
  <c r="BH32"/>
  <c r="BH31"/>
  <c r="BH30"/>
  <c r="BH29"/>
  <c r="BH28"/>
  <c r="BH27"/>
  <c r="BH15"/>
  <c r="BH16"/>
  <c r="BH17"/>
  <c r="BH18"/>
  <c r="BH19"/>
  <c r="BH20"/>
  <c r="BH21"/>
  <c r="BH22"/>
  <c r="BH23"/>
  <c r="BH14"/>
  <c r="G49" i="4"/>
  <c r="R8" i="3"/>
  <c r="Q8"/>
  <c r="AB9" i="2"/>
  <c r="AR9" s="1"/>
  <c r="AA9"/>
  <c r="AQ9" s="1"/>
  <c r="Z9"/>
  <c r="AP9" s="1"/>
  <c r="AG8" i="6"/>
  <c r="AW8" s="1"/>
  <c r="BL9" i="1"/>
  <c r="CB9" s="1"/>
  <c r="AF8" i="6"/>
  <c r="AV9" s="1"/>
  <c r="AE8"/>
  <c r="AU9" s="1"/>
  <c r="S10" i="3" l="1"/>
  <c r="J12" s="1"/>
  <c r="AA45" i="1"/>
  <c r="AG45" s="1"/>
  <c r="AH43"/>
  <c r="P46"/>
  <c r="Z46" s="1"/>
  <c r="CA1"/>
  <c r="B35" i="4"/>
  <c r="B36" s="1"/>
  <c r="B37" s="1"/>
  <c r="B38" s="1"/>
  <c r="B39" s="1"/>
  <c r="B40" s="1"/>
  <c r="B41" s="1"/>
  <c r="B42" s="1"/>
  <c r="B43" s="1"/>
  <c r="BK9" i="1"/>
  <c r="BJ9"/>
  <c r="O12" i="3" l="1"/>
  <c r="M12"/>
  <c r="Q12"/>
  <c r="AZ81" i="9" s="1"/>
  <c r="N12" i="3"/>
  <c r="L12"/>
  <c r="P12"/>
  <c r="AA46" i="1"/>
  <c r="AG46" s="1"/>
  <c r="AH44"/>
  <c r="P47"/>
  <c r="Z47" s="1"/>
  <c r="B44" i="4"/>
  <c r="BZ9" i="1"/>
  <c r="CA9"/>
  <c r="F9" i="10"/>
  <c r="BA1" i="11"/>
  <c r="A1"/>
  <c r="BP1" i="9"/>
  <c r="AR1" i="2"/>
  <c r="R1" i="1"/>
  <c r="AA47" l="1"/>
  <c r="AG47" s="1"/>
  <c r="AH45"/>
  <c r="AH46"/>
  <c r="P48"/>
  <c r="Z48" s="1"/>
  <c r="B46" i="4"/>
  <c r="B47" s="1"/>
  <c r="B48" s="1"/>
  <c r="F18" i="10"/>
  <c r="K1"/>
  <c r="A1"/>
  <c r="O1" i="12"/>
  <c r="A1"/>
  <c r="BO94" i="9"/>
  <c r="BN94"/>
  <c r="BM94"/>
  <c r="BL94"/>
  <c r="BK94"/>
  <c r="BJ94"/>
  <c r="BI94"/>
  <c r="BH94"/>
  <c r="BG94"/>
  <c r="BF94"/>
  <c r="BE94"/>
  <c r="BD94"/>
  <c r="BC94"/>
  <c r="BB94"/>
  <c r="BA94"/>
  <c r="BB1"/>
  <c r="A1"/>
  <c r="P1" i="5"/>
  <c r="A1"/>
  <c r="S1" i="3"/>
  <c r="A1"/>
  <c r="P1" i="8"/>
  <c r="A1"/>
  <c r="S1" i="2"/>
  <c r="A1"/>
  <c r="Q1" i="6"/>
  <c r="A1"/>
  <c r="BL1" i="1"/>
  <c r="A1"/>
  <c r="AA48" l="1"/>
  <c r="AG48" s="1"/>
  <c r="P49"/>
  <c r="Z49" s="1"/>
  <c r="J24" i="5"/>
  <c r="F24"/>
  <c r="L24"/>
  <c r="H24"/>
  <c r="D24"/>
  <c r="L8"/>
  <c r="L11" s="1"/>
  <c r="M8"/>
  <c r="M11" s="1"/>
  <c r="L9"/>
  <c r="L44" s="1"/>
  <c r="M9"/>
  <c r="M44" s="1"/>
  <c r="AA49" i="1" l="1"/>
  <c r="AG49"/>
  <c r="AH47"/>
  <c r="AH48"/>
  <c r="L37" i="5"/>
  <c r="L35"/>
  <c r="L38"/>
  <c r="L36"/>
  <c r="L34"/>
  <c r="L33"/>
  <c r="M38"/>
  <c r="M36"/>
  <c r="M34"/>
  <c r="M33"/>
  <c r="M37"/>
  <c r="M35"/>
  <c r="M15"/>
  <c r="M17" s="1"/>
  <c r="L15"/>
  <c r="L17" s="1"/>
  <c r="G24"/>
  <c r="K24"/>
  <c r="I24"/>
  <c r="M24"/>
  <c r="E24"/>
  <c r="E9"/>
  <c r="E17" s="1"/>
  <c r="O9" i="8"/>
  <c r="N9"/>
  <c r="AH49" i="1" l="1"/>
  <c r="AW49"/>
  <c r="E37" i="5"/>
  <c r="AH29" i="6"/>
  <c r="AH28"/>
  <c r="AH27"/>
  <c r="AH26"/>
  <c r="AH25"/>
  <c r="AH24"/>
  <c r="AH23"/>
  <c r="AH22"/>
  <c r="AH21"/>
  <c r="AH20"/>
  <c r="AH19"/>
  <c r="AH18"/>
  <c r="AH17"/>
  <c r="AH16"/>
  <c r="AH15"/>
  <c r="AH14"/>
  <c r="AH13"/>
  <c r="AH12"/>
  <c r="AH11"/>
  <c r="AH10"/>
  <c r="BX49" i="1" l="1"/>
  <c r="BT49"/>
  <c r="BW49"/>
  <c r="BQ49"/>
  <c r="BV49"/>
  <c r="BP49"/>
  <c r="BU49"/>
  <c r="BS49"/>
  <c r="BR49"/>
  <c r="BO49"/>
  <c r="AN11" i="6"/>
  <c r="AU11"/>
  <c r="AO11"/>
  <c r="AV11"/>
  <c r="AJ11"/>
  <c r="AQ11"/>
  <c r="AK11"/>
  <c r="AS11"/>
  <c r="AM11"/>
  <c r="AL11"/>
  <c r="AX11"/>
  <c r="AW11"/>
  <c r="AT11"/>
  <c r="AR11"/>
  <c r="AP11"/>
  <c r="A16" i="1"/>
  <c r="A17" s="1"/>
  <c r="A18" s="1"/>
  <c r="A19" s="1"/>
  <c r="A20" s="1"/>
  <c r="A21" s="1"/>
  <c r="A22" s="1"/>
  <c r="A23" s="1"/>
  <c r="A24" s="1"/>
  <c r="A25" s="1"/>
  <c r="A26" s="1"/>
  <c r="A27" s="1"/>
  <c r="A28" l="1"/>
  <c r="A35"/>
  <c r="L39" i="5"/>
  <c r="M39"/>
  <c r="A29" i="1" l="1"/>
  <c r="A36"/>
  <c r="N30" i="6"/>
  <c r="F30"/>
  <c r="E30"/>
  <c r="C30"/>
  <c r="A30" i="1" l="1"/>
  <c r="A37"/>
  <c r="F50" i="2"/>
  <c r="E50"/>
  <c r="B47" i="12"/>
  <c r="B46"/>
  <c r="B45"/>
  <c r="B44"/>
  <c r="B21"/>
  <c r="D21" s="1"/>
  <c r="B20"/>
  <c r="D20" s="1"/>
  <c r="B19"/>
  <c r="D19" s="1"/>
  <c r="B18"/>
  <c r="D18" s="1"/>
  <c r="B17"/>
  <c r="D17" s="1"/>
  <c r="B16"/>
  <c r="D16" s="1"/>
  <c r="D15"/>
  <c r="D14"/>
  <c r="D13"/>
  <c r="B12"/>
  <c r="D12" s="1"/>
  <c r="A31" i="1" l="1"/>
  <c r="A38"/>
  <c r="D50" i="2"/>
  <c r="A32" i="1" l="1"/>
  <c r="A39"/>
  <c r="M13" i="2"/>
  <c r="A33" i="1" l="1"/>
  <c r="A40"/>
  <c r="AO13" i="2"/>
  <c r="AO50" s="1"/>
  <c r="AX10" i="11" s="1"/>
  <c r="AR13" i="2"/>
  <c r="AQ13"/>
  <c r="AP13"/>
  <c r="AN13"/>
  <c r="AJ13"/>
  <c r="AF13"/>
  <c r="AM13"/>
  <c r="AI13"/>
  <c r="AE13"/>
  <c r="AH13"/>
  <c r="AG13"/>
  <c r="AL13"/>
  <c r="AK13"/>
  <c r="M50"/>
  <c r="A34" i="1" l="1"/>
  <c r="A42" s="1"/>
  <c r="A43" s="1"/>
  <c r="A44" s="1"/>
  <c r="A45" s="1"/>
  <c r="A46" s="1"/>
  <c r="A47" s="1"/>
  <c r="A48" s="1"/>
  <c r="A49" s="1"/>
  <c r="A41"/>
  <c r="AP50" i="2"/>
  <c r="AM50"/>
  <c r="AQ50"/>
  <c r="F17" i="10" s="1"/>
  <c r="AE50" i="2"/>
  <c r="D36" i="5" s="1"/>
  <c r="AK50" i="2"/>
  <c r="AF50"/>
  <c r="E36" i="5" s="1"/>
  <c r="AJ50" i="2"/>
  <c r="AL50"/>
  <c r="AN50"/>
  <c r="AG50"/>
  <c r="AH50"/>
  <c r="AR50"/>
  <c r="AI50"/>
  <c r="AZ79" i="9" l="1"/>
  <c r="BA79"/>
  <c r="C17" i="3"/>
  <c r="L30" i="6" l="1"/>
  <c r="BO72" i="9"/>
  <c r="BN72"/>
  <c r="BM72"/>
  <c r="BL72"/>
  <c r="BK72"/>
  <c r="BJ72"/>
  <c r="BI72"/>
  <c r="BH72"/>
  <c r="BG72"/>
  <c r="BF72"/>
  <c r="BE72"/>
  <c r="BD72"/>
  <c r="BC72"/>
  <c r="BB72"/>
  <c r="BB76" s="1"/>
  <c r="BA72"/>
  <c r="BA76" s="1"/>
  <c r="D8" i="5" l="1"/>
  <c r="D11" s="1"/>
  <c r="E11"/>
  <c r="F11"/>
  <c r="G11"/>
  <c r="G17" s="1"/>
  <c r="H8"/>
  <c r="H11" s="1"/>
  <c r="I8"/>
  <c r="I11" s="1"/>
  <c r="J8"/>
  <c r="J11" s="1"/>
  <c r="K8"/>
  <c r="K11" s="1"/>
  <c r="F9"/>
  <c r="F17" s="1"/>
  <c r="G9"/>
  <c r="H9"/>
  <c r="I9"/>
  <c r="I44" s="1"/>
  <c r="J9"/>
  <c r="J44" s="1"/>
  <c r="K9"/>
  <c r="K44" s="1"/>
  <c r="M30" i="6"/>
  <c r="P30"/>
  <c r="O30"/>
  <c r="K30"/>
  <c r="J30"/>
  <c r="I30"/>
  <c r="H30"/>
  <c r="G30"/>
  <c r="D30"/>
  <c r="Q29"/>
  <c r="Q28"/>
  <c r="Q27"/>
  <c r="Q26"/>
  <c r="Q25"/>
  <c r="Q24"/>
  <c r="Q23"/>
  <c r="Q22"/>
  <c r="Q21"/>
  <c r="Q20"/>
  <c r="Q19"/>
  <c r="Q18"/>
  <c r="Q17"/>
  <c r="Q16"/>
  <c r="Q15"/>
  <c r="Q14"/>
  <c r="Q13"/>
  <c r="Q12"/>
  <c r="Q10"/>
  <c r="AJ14" l="1"/>
  <c r="AN14"/>
  <c r="AR14"/>
  <c r="AV14"/>
  <c r="AK14"/>
  <c r="AO14"/>
  <c r="AS14"/>
  <c r="AW14"/>
  <c r="AL14"/>
  <c r="AP14"/>
  <c r="AT14"/>
  <c r="AX14"/>
  <c r="AM14"/>
  <c r="AQ14"/>
  <c r="AU14"/>
  <c r="AJ22"/>
  <c r="AN22"/>
  <c r="AV22"/>
  <c r="AK22"/>
  <c r="AO22"/>
  <c r="AS22"/>
  <c r="AW22"/>
  <c r="AL22"/>
  <c r="AP22"/>
  <c r="AT22"/>
  <c r="AX22"/>
  <c r="AM22"/>
  <c r="AQ22"/>
  <c r="AU22"/>
  <c r="AR22"/>
  <c r="AN26"/>
  <c r="AK26"/>
  <c r="AO26"/>
  <c r="AS26"/>
  <c r="AW26"/>
  <c r="AL26"/>
  <c r="AT26"/>
  <c r="AP26"/>
  <c r="AX26"/>
  <c r="AM26"/>
  <c r="AQ26"/>
  <c r="AU26"/>
  <c r="AJ26"/>
  <c r="AR26"/>
  <c r="AV26"/>
  <c r="AK15"/>
  <c r="AO15"/>
  <c r="AS15"/>
  <c r="AW15"/>
  <c r="AL15"/>
  <c r="AP15"/>
  <c r="AT15"/>
  <c r="AX15"/>
  <c r="AM15"/>
  <c r="AQ15"/>
  <c r="AU15"/>
  <c r="AJ15"/>
  <c r="AN15"/>
  <c r="AR15"/>
  <c r="AV15"/>
  <c r="AK19"/>
  <c r="AO19"/>
  <c r="AS19"/>
  <c r="AW19"/>
  <c r="AL19"/>
  <c r="AP19"/>
  <c r="AT19"/>
  <c r="AX19"/>
  <c r="AM19"/>
  <c r="AQ19"/>
  <c r="AU19"/>
  <c r="AJ19"/>
  <c r="AN19"/>
  <c r="AR19"/>
  <c r="AV19"/>
  <c r="AO23"/>
  <c r="AL23"/>
  <c r="AP23"/>
  <c r="AT23"/>
  <c r="AX23"/>
  <c r="AQ23"/>
  <c r="AM23"/>
  <c r="AU23"/>
  <c r="AJ23"/>
  <c r="AN23"/>
  <c r="AR23"/>
  <c r="AV23"/>
  <c r="AK23"/>
  <c r="AS23"/>
  <c r="AW23"/>
  <c r="AK27"/>
  <c r="AS27"/>
  <c r="AL27"/>
  <c r="AP27"/>
  <c r="AT27"/>
  <c r="AX27"/>
  <c r="AM27"/>
  <c r="AU27"/>
  <c r="AQ27"/>
  <c r="AJ27"/>
  <c r="AN27"/>
  <c r="AR27"/>
  <c r="AV27"/>
  <c r="AO27"/>
  <c r="AW27"/>
  <c r="AJ18"/>
  <c r="AN18"/>
  <c r="AR18"/>
  <c r="AV18"/>
  <c r="AK18"/>
  <c r="AO18"/>
  <c r="AS18"/>
  <c r="AW18"/>
  <c r="AL18"/>
  <c r="AP18"/>
  <c r="AT18"/>
  <c r="AX18"/>
  <c r="AM18"/>
  <c r="AQ18"/>
  <c r="AU18"/>
  <c r="AL12"/>
  <c r="AP12"/>
  <c r="AT12"/>
  <c r="AX12"/>
  <c r="AM12"/>
  <c r="AQ12"/>
  <c r="AU12"/>
  <c r="AJ12"/>
  <c r="AN12"/>
  <c r="AR12"/>
  <c r="AV12"/>
  <c r="AK12"/>
  <c r="AO12"/>
  <c r="AS12"/>
  <c r="AW12"/>
  <c r="AL16"/>
  <c r="AP16"/>
  <c r="AT16"/>
  <c r="AX16"/>
  <c r="AM16"/>
  <c r="AQ16"/>
  <c r="AU16"/>
  <c r="AJ16"/>
  <c r="AN16"/>
  <c r="AR16"/>
  <c r="AV16"/>
  <c r="AK16"/>
  <c r="AO16"/>
  <c r="AS16"/>
  <c r="AW16"/>
  <c r="AL20"/>
  <c r="AP20"/>
  <c r="AT20"/>
  <c r="AX20"/>
  <c r="AM20"/>
  <c r="AQ20"/>
  <c r="AU20"/>
  <c r="AJ20"/>
  <c r="AN20"/>
  <c r="AR20"/>
  <c r="AV20"/>
  <c r="AK20"/>
  <c r="AO20"/>
  <c r="AS20"/>
  <c r="AW20"/>
  <c r="AL24"/>
  <c r="AT24"/>
  <c r="AM24"/>
  <c r="AQ24"/>
  <c r="AU24"/>
  <c r="AJ24"/>
  <c r="AR24"/>
  <c r="AN24"/>
  <c r="AV24"/>
  <c r="AK24"/>
  <c r="AO24"/>
  <c r="AS24"/>
  <c r="AW24"/>
  <c r="AP24"/>
  <c r="AX24"/>
  <c r="AM13"/>
  <c r="AQ13"/>
  <c r="AU13"/>
  <c r="AJ13"/>
  <c r="AN13"/>
  <c r="AR13"/>
  <c r="AV13"/>
  <c r="AK13"/>
  <c r="AO13"/>
  <c r="AS13"/>
  <c r="AW13"/>
  <c r="AL13"/>
  <c r="AP13"/>
  <c r="AT13"/>
  <c r="AX13"/>
  <c r="AM17"/>
  <c r="AQ17"/>
  <c r="AU17"/>
  <c r="AJ17"/>
  <c r="AN17"/>
  <c r="AR17"/>
  <c r="AV17"/>
  <c r="AK17"/>
  <c r="AO17"/>
  <c r="AS17"/>
  <c r="AW17"/>
  <c r="AL17"/>
  <c r="AP17"/>
  <c r="AT17"/>
  <c r="AX17"/>
  <c r="AM21"/>
  <c r="AQ21"/>
  <c r="AJ21"/>
  <c r="AN21"/>
  <c r="AR21"/>
  <c r="AV21"/>
  <c r="AK21"/>
  <c r="AO21"/>
  <c r="AS21"/>
  <c r="AW21"/>
  <c r="AL21"/>
  <c r="AP21"/>
  <c r="AT21"/>
  <c r="AX21"/>
  <c r="AU21"/>
  <c r="AM25"/>
  <c r="AU25"/>
  <c r="AJ25"/>
  <c r="AN25"/>
  <c r="AR25"/>
  <c r="AV25"/>
  <c r="AK25"/>
  <c r="AS25"/>
  <c r="AO25"/>
  <c r="AW25"/>
  <c r="AL25"/>
  <c r="AP25"/>
  <c r="AT25"/>
  <c r="AX25"/>
  <c r="AQ25"/>
  <c r="AJ10"/>
  <c r="AN10"/>
  <c r="AR10"/>
  <c r="AK10"/>
  <c r="AO10"/>
  <c r="AO30" s="1"/>
  <c r="AS10"/>
  <c r="AL10"/>
  <c r="AP10"/>
  <c r="AP30" s="1"/>
  <c r="AM10"/>
  <c r="AQ10"/>
  <c r="AO29"/>
  <c r="AL29"/>
  <c r="AM29"/>
  <c r="AQ29"/>
  <c r="AU29"/>
  <c r="AS29"/>
  <c r="AP29"/>
  <c r="AX29"/>
  <c r="AJ29"/>
  <c r="AN29"/>
  <c r="AR29"/>
  <c r="AV29"/>
  <c r="AK29"/>
  <c r="AW29"/>
  <c r="AT29"/>
  <c r="AO28"/>
  <c r="AX28"/>
  <c r="AP28"/>
  <c r="AM28"/>
  <c r="AQ28"/>
  <c r="AU28"/>
  <c r="AT28"/>
  <c r="AJ28"/>
  <c r="AN28"/>
  <c r="AR28"/>
  <c r="AV28"/>
  <c r="AK28"/>
  <c r="AS28"/>
  <c r="AW28"/>
  <c r="AL28"/>
  <c r="I38" i="5"/>
  <c r="I36"/>
  <c r="I34"/>
  <c r="I33"/>
  <c r="I37"/>
  <c r="I35"/>
  <c r="H37"/>
  <c r="H38"/>
  <c r="H36"/>
  <c r="K37"/>
  <c r="K35"/>
  <c r="K38"/>
  <c r="K36"/>
  <c r="K34"/>
  <c r="K33"/>
  <c r="G37"/>
  <c r="G36"/>
  <c r="J38"/>
  <c r="J36"/>
  <c r="J34"/>
  <c r="J33"/>
  <c r="J37"/>
  <c r="J35"/>
  <c r="F36"/>
  <c r="F37"/>
  <c r="AV10" i="6"/>
  <c r="AT10"/>
  <c r="AX10"/>
  <c r="AU10"/>
  <c r="AW10"/>
  <c r="AW30" s="1"/>
  <c r="K15" i="5"/>
  <c r="K17" s="1"/>
  <c r="I15"/>
  <c r="I17" s="1"/>
  <c r="J15"/>
  <c r="J17" s="1"/>
  <c r="Q30" i="6"/>
  <c r="AR30" l="1"/>
  <c r="AK30"/>
  <c r="E35" i="5" s="1"/>
  <c r="AU30" i="6"/>
  <c r="AQ30"/>
  <c r="AN30"/>
  <c r="H35" i="5" s="1"/>
  <c r="AM30" i="6"/>
  <c r="G35" i="5" s="1"/>
  <c r="AT30" i="6"/>
  <c r="AW10" i="11" s="1"/>
  <c r="AS30" i="6"/>
  <c r="AV30"/>
  <c r="F16" i="10" s="1"/>
  <c r="F7" s="1"/>
  <c r="F11" s="1"/>
  <c r="AL30" i="6"/>
  <c r="F35" i="5" s="1"/>
  <c r="AX30" i="6"/>
  <c r="C16" i="3"/>
  <c r="AJ30" i="6"/>
  <c r="D35" i="5" s="1"/>
  <c r="AZ78" i="9" l="1"/>
  <c r="BA78"/>
  <c r="I26" i="5"/>
  <c r="E17" i="12" s="1"/>
  <c r="L26" i="5"/>
  <c r="E20" i="12" s="1"/>
  <c r="BG44" i="9"/>
  <c r="BC44"/>
  <c r="BJ44"/>
  <c r="BE44"/>
  <c r="BL44"/>
  <c r="BH44"/>
  <c r="BD44"/>
  <c r="BF44"/>
  <c r="BM44"/>
  <c r="BN44"/>
  <c r="BK44"/>
  <c r="BO44"/>
  <c r="BI44"/>
  <c r="I61" i="5" l="1"/>
  <c r="I65" s="1"/>
  <c r="L61"/>
  <c r="L65" s="1"/>
  <c r="M26"/>
  <c r="E21" i="12" s="1"/>
  <c r="I56" i="5"/>
  <c r="L56"/>
  <c r="BI83" i="9"/>
  <c r="BI96" s="1"/>
  <c r="BH83"/>
  <c r="BH96" s="1"/>
  <c r="BO83"/>
  <c r="BO96" s="1"/>
  <c r="BL83"/>
  <c r="BL96" s="1"/>
  <c r="BK83"/>
  <c r="BK96" s="1"/>
  <c r="BF83"/>
  <c r="BF96" s="1"/>
  <c r="BE83"/>
  <c r="BE96" s="1"/>
  <c r="BM83"/>
  <c r="BM96" s="1"/>
  <c r="BC83"/>
  <c r="BC96" s="1"/>
  <c r="BG83"/>
  <c r="BG96" s="1"/>
  <c r="BN83"/>
  <c r="BN96" s="1"/>
  <c r="BD83"/>
  <c r="BD96" s="1"/>
  <c r="BJ83"/>
  <c r="BJ96" s="1"/>
  <c r="BD99" l="1"/>
  <c r="E27" i="12"/>
  <c r="E37"/>
  <c r="BN99" i="9"/>
  <c r="E28" i="12"/>
  <c r="BE99" i="9"/>
  <c r="BO99"/>
  <c r="E38" i="12"/>
  <c r="BC99" i="9"/>
  <c r="E26" i="12"/>
  <c r="E36"/>
  <c r="BM99" i="9"/>
  <c r="BG99"/>
  <c r="E30" i="12"/>
  <c r="E33"/>
  <c r="BJ99" i="9"/>
  <c r="E29" i="12"/>
  <c r="BF99" i="9"/>
  <c r="BH99"/>
  <c r="E31" i="12"/>
  <c r="E32"/>
  <c r="BI99" i="9"/>
  <c r="BK99"/>
  <c r="E34" i="12"/>
  <c r="BL99" i="9"/>
  <c r="E35" i="12"/>
  <c r="M56" i="5"/>
  <c r="M61"/>
  <c r="M65" s="1"/>
  <c r="J39" l="1"/>
  <c r="I39" l="1"/>
  <c r="K39"/>
  <c r="K26" l="1"/>
  <c r="E19" i="12" s="1"/>
  <c r="J26" i="5"/>
  <c r="J56" l="1"/>
  <c r="E18" i="12"/>
  <c r="J61" i="5"/>
  <c r="J65" s="1"/>
  <c r="K61"/>
  <c r="K65" s="1"/>
  <c r="K56"/>
  <c r="BJ17" i="11" l="1"/>
  <c r="E44" i="12" s="1"/>
  <c r="BJ20" i="11"/>
  <c r="E47" i="12" s="1"/>
  <c r="BJ22" i="11"/>
  <c r="BJ16"/>
  <c r="E43" i="12" s="1"/>
  <c r="BJ28" i="11"/>
  <c r="BJ21"/>
  <c r="E48" i="12" s="1"/>
  <c r="BJ19" i="11"/>
  <c r="E46" i="12" s="1"/>
  <c r="BJ33" i="11"/>
  <c r="BJ31"/>
  <c r="BJ34"/>
  <c r="BJ23"/>
  <c r="BJ18"/>
  <c r="E45" i="12" s="1"/>
  <c r="BJ32" i="11"/>
  <c r="BJ36"/>
  <c r="BJ30"/>
  <c r="BJ27"/>
  <c r="BJ35"/>
  <c r="BJ15"/>
  <c r="E42" i="12" s="1"/>
  <c r="BJ29" i="11"/>
  <c r="AH18" i="1" l="1"/>
  <c r="AH16"/>
  <c r="AH25"/>
  <c r="AW18" l="1"/>
  <c r="BQ18" s="1"/>
  <c r="AH20"/>
  <c r="AW20" s="1"/>
  <c r="AW16"/>
  <c r="BS16" s="1"/>
  <c r="AH24"/>
  <c r="BO18" l="1"/>
  <c r="BU18"/>
  <c r="BX18"/>
  <c r="BP18"/>
  <c r="BV18"/>
  <c r="BW18"/>
  <c r="BT18"/>
  <c r="BR18"/>
  <c r="BS18"/>
  <c r="BU16"/>
  <c r="BX16"/>
  <c r="BQ16"/>
  <c r="BP16"/>
  <c r="BW16"/>
  <c r="BV16"/>
  <c r="BT16"/>
  <c r="BR16"/>
  <c r="BO16"/>
  <c r="BW20"/>
  <c r="BS20"/>
  <c r="BO20"/>
  <c r="BV20"/>
  <c r="BU20"/>
  <c r="BQ20"/>
  <c r="BR20"/>
  <c r="BX20"/>
  <c r="BT20"/>
  <c r="BP20"/>
  <c r="AH19" l="1"/>
  <c r="AH17" l="1"/>
  <c r="AW17" s="1"/>
  <c r="AW19"/>
  <c r="AH22"/>
  <c r="AW22" s="1"/>
  <c r="BW22" l="1"/>
  <c r="BS22"/>
  <c r="BO22"/>
  <c r="BU22"/>
  <c r="BQ22"/>
  <c r="BR22"/>
  <c r="BX22"/>
  <c r="BT22"/>
  <c r="BP22"/>
  <c r="BV22"/>
  <c r="BX19"/>
  <c r="BQ19"/>
  <c r="BU19"/>
  <c r="BR19"/>
  <c r="BV19"/>
  <c r="BO19"/>
  <c r="BT19"/>
  <c r="BS19"/>
  <c r="BW19"/>
  <c r="BP19"/>
  <c r="BO17"/>
  <c r="BR17"/>
  <c r="BU17"/>
  <c r="BQ17"/>
  <c r="BX17"/>
  <c r="BP17"/>
  <c r="BS17"/>
  <c r="BV17"/>
  <c r="BT17"/>
  <c r="BW17"/>
  <c r="AH21" l="1"/>
  <c r="AH15" l="1"/>
  <c r="AW15" s="1"/>
  <c r="BX15" s="1"/>
  <c r="AH23"/>
  <c r="AW21"/>
  <c r="BX21" s="1"/>
  <c r="AW23"/>
  <c r="BX23" s="1"/>
  <c r="BT21" l="1"/>
  <c r="BW21"/>
  <c r="BP21"/>
  <c r="BS23"/>
  <c r="BP23"/>
  <c r="BR21"/>
  <c r="BU21"/>
  <c r="BQ23"/>
  <c r="BS21"/>
  <c r="BO23"/>
  <c r="BR23"/>
  <c r="BV21"/>
  <c r="BQ21"/>
  <c r="BW23"/>
  <c r="BU23"/>
  <c r="BO21"/>
  <c r="BT23"/>
  <c r="BV23"/>
  <c r="BR15"/>
  <c r="BP15"/>
  <c r="BT15"/>
  <c r="BO15"/>
  <c r="BW15"/>
  <c r="BV15"/>
  <c r="BU15"/>
  <c r="BS15"/>
  <c r="BQ15"/>
  <c r="AF53" l="1"/>
  <c r="AH53"/>
  <c r="AW53" s="1"/>
  <c r="CA53" s="1"/>
  <c r="CA67" s="1"/>
  <c r="F15" i="10" s="1"/>
  <c r="BV53" i="1" l="1"/>
  <c r="BV67" s="1"/>
  <c r="BQ53"/>
  <c r="BQ67" s="1"/>
  <c r="F34" i="5" s="1"/>
  <c r="BT53" i="1"/>
  <c r="BT67" s="1"/>
  <c r="BU53"/>
  <c r="BU67" s="1"/>
  <c r="BR53"/>
  <c r="BR67" s="1"/>
  <c r="G34" i="5" s="1"/>
  <c r="BX53" i="1"/>
  <c r="BX67" s="1"/>
  <c r="BW53"/>
  <c r="BW67" s="1"/>
  <c r="BP53"/>
  <c r="BP67" s="1"/>
  <c r="E34" i="5" s="1"/>
  <c r="BS53" i="1"/>
  <c r="BS67" s="1"/>
  <c r="H34" i="5" s="1"/>
  <c r="BO53" i="1"/>
  <c r="BO67" s="1"/>
  <c r="D34" i="5" s="1"/>
  <c r="CB53" i="1"/>
  <c r="CB67" s="1"/>
  <c r="C15" i="3" s="1"/>
  <c r="C12" s="1"/>
  <c r="BZ53" i="1"/>
  <c r="BZ67" s="1"/>
  <c r="AZ77" i="9" s="1"/>
  <c r="BY53" i="1"/>
  <c r="BY67" s="1"/>
  <c r="AV10" i="11" s="1"/>
  <c r="K12" i="3" l="1"/>
  <c r="R12"/>
  <c r="F19" i="10" s="1"/>
  <c r="H12" i="3"/>
  <c r="I12"/>
  <c r="G12"/>
  <c r="F12"/>
  <c r="L50" i="5"/>
  <c r="L51" s="1"/>
  <c r="M50"/>
  <c r="M51" s="1"/>
  <c r="I50"/>
  <c r="I51" s="1"/>
  <c r="AZ10" i="11"/>
  <c r="K50" i="5"/>
  <c r="K51" s="1"/>
  <c r="D38" l="1"/>
  <c r="G38"/>
  <c r="F38"/>
  <c r="E38"/>
  <c r="J50"/>
  <c r="J51" s="1"/>
  <c r="AQ13" i="9" l="1"/>
  <c r="AP13"/>
  <c r="AO13"/>
  <c r="AW13" l="1"/>
  <c r="BA13" l="1"/>
  <c r="AZ13" s="1"/>
  <c r="BB75" l="1"/>
  <c r="AW17"/>
  <c r="AW16"/>
  <c r="AW15"/>
  <c r="BA17" l="1"/>
  <c r="AZ17" s="1"/>
  <c r="BA16"/>
  <c r="AZ16" s="1"/>
  <c r="BA15"/>
  <c r="AZ15" s="1"/>
  <c r="BB83"/>
  <c r="BB96" s="1"/>
  <c r="E25" i="12" s="1"/>
  <c r="BB99" i="9" l="1"/>
  <c r="AW14"/>
  <c r="BA14" s="1"/>
  <c r="BA44" s="1"/>
  <c r="BA75" s="1"/>
  <c r="BA80" l="1"/>
  <c r="BA81"/>
  <c r="BA77"/>
  <c r="BB14"/>
  <c r="AZ14" s="1"/>
  <c r="AZ44" s="1"/>
  <c r="AZ75" s="1"/>
  <c r="AZ83" s="1"/>
  <c r="AE20" i="11"/>
  <c r="AE15"/>
  <c r="AE22"/>
  <c r="AM14"/>
  <c r="AN14"/>
  <c r="AT14" s="1"/>
  <c r="AL14"/>
  <c r="AE18"/>
  <c r="AE21"/>
  <c r="AE19"/>
  <c r="BA83" i="9" l="1"/>
  <c r="AZ96"/>
  <c r="AZ103" s="1"/>
  <c r="AZ104" s="1"/>
  <c r="AZ86"/>
  <c r="AZ87" s="1"/>
  <c r="BB44"/>
  <c r="AZ18" i="11"/>
  <c r="AW33"/>
  <c r="AY15"/>
  <c r="AW16"/>
  <c r="AV21"/>
  <c r="AX32"/>
  <c r="AZ28"/>
  <c r="AW27"/>
  <c r="AY31"/>
  <c r="AY19"/>
  <c r="AV15"/>
  <c r="AX20"/>
  <c r="AV35"/>
  <c r="AX22"/>
  <c r="AY33"/>
  <c r="AX29"/>
  <c r="AX23"/>
  <c r="AY27"/>
  <c r="AZ15"/>
  <c r="AX33"/>
  <c r="AY35"/>
  <c r="AV14"/>
  <c r="AZ23"/>
  <c r="AY30"/>
  <c r="AW30"/>
  <c r="AV34"/>
  <c r="AZ30"/>
  <c r="AX17"/>
  <c r="AZ33"/>
  <c r="AY32"/>
  <c r="AZ14"/>
  <c r="AW17"/>
  <c r="AY14"/>
  <c r="AZ17"/>
  <c r="AW23"/>
  <c r="AX36"/>
  <c r="AW19"/>
  <c r="AZ29"/>
  <c r="AX18"/>
  <c r="AV20"/>
  <c r="AV32"/>
  <c r="AY22"/>
  <c r="AY16"/>
  <c r="AZ22"/>
  <c r="AY34"/>
  <c r="AW32"/>
  <c r="AW20"/>
  <c r="AX35"/>
  <c r="AV31"/>
  <c r="AZ21"/>
  <c r="AV23"/>
  <c r="AZ16"/>
  <c r="AX19"/>
  <c r="AZ31"/>
  <c r="AX34"/>
  <c r="AZ35"/>
  <c r="AZ34"/>
  <c r="AV16"/>
  <c r="AX31"/>
  <c r="AZ20"/>
  <c r="AW15"/>
  <c r="AV17"/>
  <c r="AZ36"/>
  <c r="AW35"/>
  <c r="AW22"/>
  <c r="AW14"/>
  <c r="AW31"/>
  <c r="AW29"/>
  <c r="AY20"/>
  <c r="AY18"/>
  <c r="AZ19"/>
  <c r="AV19"/>
  <c r="AZ32"/>
  <c r="AY21"/>
  <c r="AY23"/>
  <c r="AW36"/>
  <c r="AX15"/>
  <c r="AV36"/>
  <c r="AW18"/>
  <c r="AX14"/>
  <c r="AV30"/>
  <c r="AY29"/>
  <c r="AW21"/>
  <c r="AV18"/>
  <c r="AW34"/>
  <c r="AX30"/>
  <c r="AV29"/>
  <c r="AX21"/>
  <c r="AZ27"/>
  <c r="AV27"/>
  <c r="AX27"/>
  <c r="AV28"/>
  <c r="AW28"/>
  <c r="AX16"/>
  <c r="AX28"/>
  <c r="AY17"/>
  <c r="AV33"/>
  <c r="AY36"/>
  <c r="AV22"/>
  <c r="AY28"/>
  <c r="BA96" i="9" l="1"/>
  <c r="BA86"/>
  <c r="BA87" s="1"/>
  <c r="BA18" i="11"/>
  <c r="BA22"/>
  <c r="BA29"/>
  <c r="BA33"/>
  <c r="BA19"/>
  <c r="BA14"/>
  <c r="BE14" s="1"/>
  <c r="BJ14" s="1"/>
  <c r="E41" i="12" s="1"/>
  <c r="BA23" i="11"/>
  <c r="BA20"/>
  <c r="BA27"/>
  <c r="BA36"/>
  <c r="BA17"/>
  <c r="BA16"/>
  <c r="BA15"/>
  <c r="BA30"/>
  <c r="BA31"/>
  <c r="BA34"/>
  <c r="BA28"/>
  <c r="BA32"/>
  <c r="BA35"/>
  <c r="BA21"/>
  <c r="BP50" i="1"/>
  <c r="BA99" i="9" l="1"/>
  <c r="E24" i="12"/>
  <c r="BX50" i="1"/>
  <c r="M13" i="5" s="1"/>
  <c r="M45" s="1"/>
  <c r="M64" s="1"/>
  <c r="BQ50" i="1"/>
  <c r="F33" i="5" s="1"/>
  <c r="F39" s="1"/>
  <c r="BW50" i="1"/>
  <c r="L13" i="5" s="1"/>
  <c r="L45" s="1"/>
  <c r="L64" s="1"/>
  <c r="BS50" i="1"/>
  <c r="BV50"/>
  <c r="K13" i="5" s="1"/>
  <c r="K45" s="1"/>
  <c r="K64" s="1"/>
  <c r="BT50" i="1"/>
  <c r="I13" i="5" s="1"/>
  <c r="I45" s="1"/>
  <c r="I64" s="1"/>
  <c r="BR50" i="1"/>
  <c r="G33" i="5" s="1"/>
  <c r="G39" s="1"/>
  <c r="BU50" i="1"/>
  <c r="J13" i="5" s="1"/>
  <c r="J45" s="1"/>
  <c r="J64" s="1"/>
  <c r="E33"/>
  <c r="E39" s="1"/>
  <c r="E13"/>
  <c r="E15" s="1"/>
  <c r="E18" s="1"/>
  <c r="E19" s="1"/>
  <c r="BP99" i="9" l="1"/>
  <c r="AZ99"/>
  <c r="E26" i="5"/>
  <c r="E13" i="12" s="1"/>
  <c r="BO50" i="1"/>
  <c r="D33" i="5" s="1"/>
  <c r="D39" s="1"/>
  <c r="H13"/>
  <c r="H33"/>
  <c r="H39" s="1"/>
  <c r="G13"/>
  <c r="G15" s="1"/>
  <c r="G26" s="1"/>
  <c r="G44" s="1"/>
  <c r="G45" s="1"/>
  <c r="G64" s="1"/>
  <c r="F13"/>
  <c r="F15" s="1"/>
  <c r="F18" s="1"/>
  <c r="F19" s="1"/>
  <c r="E44" l="1"/>
  <c r="E45" s="1"/>
  <c r="E64" s="1"/>
  <c r="E61"/>
  <c r="E65" s="1"/>
  <c r="E50"/>
  <c r="E51" s="1"/>
  <c r="E56"/>
  <c r="F26"/>
  <c r="F50" s="1"/>
  <c r="F51" s="1"/>
  <c r="D13"/>
  <c r="D15" s="1"/>
  <c r="D18" s="1"/>
  <c r="D19" s="1"/>
  <c r="H15"/>
  <c r="H18" s="1"/>
  <c r="H19" s="1"/>
  <c r="E15" i="12"/>
  <c r="G61" i="5"/>
  <c r="G65" s="1"/>
  <c r="G50"/>
  <c r="G51" s="1"/>
  <c r="G56"/>
  <c r="F44" l="1"/>
  <c r="F45" s="1"/>
  <c r="F64" s="1"/>
  <c r="F61"/>
  <c r="F65" s="1"/>
  <c r="E14" i="12"/>
  <c r="D26" i="5"/>
  <c r="D50" s="1"/>
  <c r="D51" s="1"/>
  <c r="H26"/>
  <c r="H56" s="1"/>
  <c r="F56"/>
  <c r="D61" l="1"/>
  <c r="E16" i="12"/>
  <c r="E12"/>
  <c r="H12" s="1"/>
  <c r="I12" s="1"/>
  <c r="I55" s="1"/>
  <c r="H44" i="5"/>
  <c r="H45" s="1"/>
  <c r="H64" s="1"/>
  <c r="H61"/>
  <c r="H65" s="1"/>
  <c r="H50"/>
  <c r="H51" s="1"/>
  <c r="D44"/>
  <c r="D45" s="1"/>
  <c r="D56"/>
  <c r="D65"/>
  <c r="H55" i="12" l="1"/>
  <c r="N44" i="5"/>
  <c r="N45"/>
  <c r="D64"/>
</calcChain>
</file>

<file path=xl/sharedStrings.xml><?xml version="1.0" encoding="utf-8"?>
<sst xmlns="http://schemas.openxmlformats.org/spreadsheetml/2006/main" count="696" uniqueCount="390">
  <si>
    <t xml:space="preserve"> </t>
  </si>
  <si>
    <t>Program Name</t>
  </si>
  <si>
    <t>Costing Period</t>
  </si>
  <si>
    <t>Total Annual Cost</t>
  </si>
  <si>
    <t>Transport</t>
  </si>
  <si>
    <t>Other</t>
  </si>
  <si>
    <t>Total</t>
  </si>
  <si>
    <t>Insurance</t>
  </si>
  <si>
    <t>Repairs</t>
  </si>
  <si>
    <t>Service</t>
  </si>
  <si>
    <t>Depreciation</t>
  </si>
  <si>
    <t>Property</t>
  </si>
  <si>
    <t>Cleaning</t>
  </si>
  <si>
    <t>Water</t>
  </si>
  <si>
    <t>Rates</t>
  </si>
  <si>
    <t>Accounting</t>
  </si>
  <si>
    <t>OH&amp;S</t>
  </si>
  <si>
    <t>Training</t>
  </si>
  <si>
    <t>Staff Amenities</t>
  </si>
  <si>
    <t>Volunteer Costs</t>
  </si>
  <si>
    <t>Security</t>
  </si>
  <si>
    <t>Stationery</t>
  </si>
  <si>
    <t>Bank Fees</t>
  </si>
  <si>
    <t>Consultants</t>
  </si>
  <si>
    <t>Depreciation - Plant &amp; Equipment</t>
  </si>
  <si>
    <t>Depreciation - IT</t>
  </si>
  <si>
    <t>IT Support</t>
  </si>
  <si>
    <t>Insurance - Directors' &amp; Officers'</t>
  </si>
  <si>
    <t>Insurance - Public Liability</t>
  </si>
  <si>
    <t>Bad Debts</t>
  </si>
  <si>
    <t>Board Expenses</t>
  </si>
  <si>
    <t>Credit Card Fees</t>
  </si>
  <si>
    <t>Insurance - Volunteers</t>
  </si>
  <si>
    <t>Position / Classification</t>
  </si>
  <si>
    <t>Estimated Income</t>
  </si>
  <si>
    <t>House Name</t>
  </si>
  <si>
    <t>Beds Available</t>
  </si>
  <si>
    <t>House 2</t>
  </si>
  <si>
    <t>House 3</t>
  </si>
  <si>
    <t>House 4</t>
  </si>
  <si>
    <t>House 5</t>
  </si>
  <si>
    <t>House 6</t>
  </si>
  <si>
    <t>House 7</t>
  </si>
  <si>
    <t>House 8</t>
  </si>
  <si>
    <t>House 9</t>
  </si>
  <si>
    <t>House 10</t>
  </si>
  <si>
    <t>House 11</t>
  </si>
  <si>
    <t>House 12</t>
  </si>
  <si>
    <t>Maximum Bed Days</t>
  </si>
  <si>
    <t>Average Occupancy %</t>
  </si>
  <si>
    <t>Meal Costs</t>
  </si>
  <si>
    <t>Entertainment</t>
  </si>
  <si>
    <t>Other Consumables</t>
  </si>
  <si>
    <t>Medical Consumables</t>
  </si>
  <si>
    <t>Miscellaneous</t>
  </si>
  <si>
    <t>Transport Costs</t>
  </si>
  <si>
    <t>Rent/Lease/Depreciation</t>
  </si>
  <si>
    <t>Rates/Taxes</t>
  </si>
  <si>
    <t>Insurance - Building &amp; Contents</t>
  </si>
  <si>
    <t>Gardening &amp; Grounds</t>
  </si>
  <si>
    <t>Repairs &amp; Maintenance</t>
  </si>
  <si>
    <t>Electricity</t>
  </si>
  <si>
    <t>Gas</t>
  </si>
  <si>
    <t>Motor Vehicle - Maintenance</t>
  </si>
  <si>
    <t>Motor Vehicle - Insurance</t>
  </si>
  <si>
    <t>Motor Vehicle - Other</t>
  </si>
  <si>
    <t>Property Costs</t>
  </si>
  <si>
    <t>LSL</t>
  </si>
  <si>
    <t>Leave Loading</t>
  </si>
  <si>
    <t>MV / Travel Allowance</t>
  </si>
  <si>
    <t>&lt;Additional&gt;</t>
  </si>
  <si>
    <t>Fuel &amp; Oil</t>
  </si>
  <si>
    <t>Repairs &amp; Maint.</t>
  </si>
  <si>
    <t>Occupational Therapist</t>
  </si>
  <si>
    <t>Other Costs</t>
  </si>
  <si>
    <t>Total Cost Per Unit of Service</t>
  </si>
  <si>
    <t>Accommodation Services:</t>
  </si>
  <si>
    <t>Program Services:</t>
  </si>
  <si>
    <t>House 15</t>
  </si>
  <si>
    <t>House 13</t>
  </si>
  <si>
    <t>House 14</t>
  </si>
  <si>
    <t>Total Costs  (Ex GST)</t>
  </si>
  <si>
    <t>Organisation Name</t>
  </si>
  <si>
    <t>Podiatrist</t>
  </si>
  <si>
    <t>Physiotherapist</t>
  </si>
  <si>
    <t>Consultant Professionals</t>
  </si>
  <si>
    <t>Full-time and Part-time Professional Staff</t>
  </si>
  <si>
    <t>Enter Data in One Column Only</t>
  </si>
  <si>
    <t>Public Liability</t>
  </si>
  <si>
    <t>General Ins</t>
  </si>
  <si>
    <t>Preparation Date:</t>
  </si>
  <si>
    <t>FBT (cash value)</t>
  </si>
  <si>
    <t>Program Code</t>
  </si>
  <si>
    <t>Commercial &amp; Fund Raising</t>
  </si>
  <si>
    <t>Total Annual Direct Delivery Payroll Cost per Program ($)</t>
  </si>
  <si>
    <t>Total Annual Direct Overheads per Program ($)</t>
  </si>
  <si>
    <t>SDU Description</t>
  </si>
  <si>
    <t>Loan Interest or Repayments</t>
  </si>
  <si>
    <t>Direct Costs</t>
  </si>
  <si>
    <t>Rent or Notional Rent</t>
  </si>
  <si>
    <t>Agency Pemium</t>
  </si>
  <si>
    <t>Consumables</t>
  </si>
  <si>
    <t>Courier</t>
  </si>
  <si>
    <t>Advertising &amp; Marketing</t>
  </si>
  <si>
    <t>Postage</t>
  </si>
  <si>
    <t>Travel &amp; Acomm</t>
  </si>
  <si>
    <t>TOTAL</t>
  </si>
  <si>
    <t>Internet</t>
  </si>
  <si>
    <t>Auditing</t>
  </si>
  <si>
    <t>Subscriptions &amp; Permits</t>
  </si>
  <si>
    <t>Interest Expense</t>
  </si>
  <si>
    <t>Recruitment</t>
  </si>
  <si>
    <t>Telephone</t>
  </si>
  <si>
    <t>$</t>
  </si>
  <si>
    <t>From Subsidiary Spreadsheets…</t>
  </si>
  <si>
    <t>Other Indirect Overheads</t>
  </si>
  <si>
    <t>Check</t>
  </si>
  <si>
    <t>TOTAL ANNUAL COST BY PROGRAM</t>
  </si>
  <si>
    <t>COST PER SDU</t>
  </si>
  <si>
    <t>PRICE PER SDU</t>
  </si>
  <si>
    <t>Further Analysis…………..</t>
  </si>
  <si>
    <t>Payroll - Direct</t>
  </si>
  <si>
    <t>Direct Overheads</t>
  </si>
  <si>
    <t>Expected Income</t>
  </si>
  <si>
    <t>Expected Profit</t>
  </si>
  <si>
    <t>Check Adds</t>
  </si>
  <si>
    <t>Preparation Date</t>
  </si>
  <si>
    <t>DIRECT SERVICE DELIVERY PERSONNEL</t>
  </si>
  <si>
    <t>KEY DATA:</t>
  </si>
  <si>
    <t>PAYROLL COSTS:</t>
  </si>
  <si>
    <t>PROPERTY COSTS:</t>
  </si>
  <si>
    <t>TRANSPORT COSTS:</t>
  </si>
  <si>
    <t>DIRECT OVERHEADS:</t>
  </si>
  <si>
    <t>Payroll Costs - Indirect</t>
  </si>
  <si>
    <t>Property Costs - Indirect</t>
  </si>
  <si>
    <t>Transport Costs - Indirect</t>
  </si>
  <si>
    <t>ACCOMMODATION SERVICES:</t>
  </si>
  <si>
    <t>PRICE PER BED DAY</t>
  </si>
  <si>
    <r>
      <t xml:space="preserve"> - Transport Costs </t>
    </r>
    <r>
      <rPr>
        <i/>
        <sz val="11"/>
        <color theme="1"/>
        <rFont val="Calibri"/>
        <family val="2"/>
        <scheme val="minor"/>
      </rPr>
      <t>(from Transport spreadsheet)</t>
    </r>
  </si>
  <si>
    <t>ESTIMATED INCOME</t>
  </si>
  <si>
    <t>Price per SDU</t>
  </si>
  <si>
    <t>SDU = Service Delivery Unit</t>
  </si>
  <si>
    <t>COMMERCIAL AND FUND RAISING:</t>
  </si>
  <si>
    <t>Direct Commercial &amp; Fund Raising Labour</t>
  </si>
  <si>
    <r>
      <t xml:space="preserve">Transport Costs </t>
    </r>
    <r>
      <rPr>
        <i/>
        <sz val="11"/>
        <color theme="1"/>
        <rFont val="Calibri"/>
        <family val="2"/>
        <scheme val="minor"/>
      </rPr>
      <t>(from Transport spreadsheet)</t>
    </r>
  </si>
  <si>
    <r>
      <t xml:space="preserve">Indirect Overheads </t>
    </r>
    <r>
      <rPr>
        <i/>
        <sz val="11"/>
        <color theme="1"/>
        <rFont val="Calibri"/>
        <family val="2"/>
        <scheme val="minor"/>
      </rPr>
      <t>(from Indirect O/H spreadsheet)</t>
    </r>
  </si>
  <si>
    <r>
      <t xml:space="preserve">Direct Overheads </t>
    </r>
    <r>
      <rPr>
        <i/>
        <sz val="11"/>
        <color theme="1"/>
        <rFont val="Calibri"/>
        <family val="2"/>
        <scheme val="minor"/>
      </rPr>
      <t>(from Direct O/H spreadsheet)</t>
    </r>
  </si>
  <si>
    <r>
      <t xml:space="preserve">Property Costs </t>
    </r>
    <r>
      <rPr>
        <i/>
        <sz val="11"/>
        <color theme="1"/>
        <rFont val="Calibri"/>
        <family val="2"/>
        <scheme val="minor"/>
      </rPr>
      <t>(from Property Spreadsheet)</t>
    </r>
  </si>
  <si>
    <r>
      <t xml:space="preserve"> - Property Costs - Indirect </t>
    </r>
    <r>
      <rPr>
        <i/>
        <sz val="11"/>
        <color theme="1"/>
        <rFont val="Calibri"/>
        <family val="2"/>
        <scheme val="minor"/>
      </rPr>
      <t>(from Property spreadsheet)</t>
    </r>
  </si>
  <si>
    <t>DIRECT &amp; INDIRECT OVERHEAD PERSONNEL</t>
  </si>
  <si>
    <t xml:space="preserve">Total Annual Cost Allocations ($) </t>
  </si>
  <si>
    <t>Admin Indirect</t>
  </si>
  <si>
    <t>LEGEND:</t>
  </si>
  <si>
    <t>Data entry required</t>
  </si>
  <si>
    <t>Data integrity checks</t>
  </si>
  <si>
    <t>Building Depn</t>
  </si>
  <si>
    <t>Per Week</t>
  </si>
  <si>
    <t>Per Annum</t>
  </si>
  <si>
    <t>EXPECTED REVENUE</t>
  </si>
  <si>
    <t>COMMERCIAL &amp; FUND RAISING PROFIT/(LOSS)</t>
  </si>
  <si>
    <t>TOTAL COMMERCIAL &amp; FUND RAISING COSTS</t>
  </si>
  <si>
    <t>Auto-filled cells</t>
  </si>
  <si>
    <t>Direct O/H</t>
  </si>
  <si>
    <t>Indirect Overheads (allocated by Annual Direct Costs)</t>
  </si>
  <si>
    <t>- F/T and P/T</t>
  </si>
  <si>
    <t>- Consultants</t>
  </si>
  <si>
    <r>
      <t>Total Service Delivery Units (</t>
    </r>
    <r>
      <rPr>
        <b/>
        <i/>
        <sz val="11"/>
        <color theme="1"/>
        <rFont val="Calibri"/>
        <family val="2"/>
        <scheme val="minor"/>
      </rPr>
      <t>from KEY DATA)</t>
    </r>
  </si>
  <si>
    <t>Programs:</t>
  </si>
  <si>
    <t xml:space="preserve">* Enter here the most common oncost rates for your agency.  These rates may be overridden on the payroll cost spreadsheets if other rates apply to some employees </t>
  </si>
  <si>
    <t>Override if applicable</t>
  </si>
  <si>
    <t>Check - below</t>
  </si>
  <si>
    <t>with Accommodation Pricing Module</t>
  </si>
  <si>
    <t>Other Direct Costs (Annual)</t>
  </si>
  <si>
    <t>Costs per Bed Day (at average occupancy)</t>
  </si>
  <si>
    <t>Allied Health Professionals - O/T Consultants</t>
  </si>
  <si>
    <t>Allied Health Professionals - Physio Consultants</t>
  </si>
  <si>
    <t>Allied Health Professionals - Podiatry Consultants</t>
  </si>
  <si>
    <t>Allied Health Professionals - Other Consultants</t>
  </si>
  <si>
    <t>Comparison check to Key Data revenue estimate.  Should be close to zero.</t>
  </si>
  <si>
    <t>Health Professnals</t>
  </si>
  <si>
    <t>Other Commercial and Fund Raising Costs - from subsidiary spreadsheets</t>
  </si>
  <si>
    <t>HEALTH PROFESSIONALS:</t>
  </si>
  <si>
    <t>PROGRAM PRICING:</t>
  </si>
  <si>
    <t>Break Even Point (in SDUs)</t>
  </si>
  <si>
    <t>Safety Margin (in SDUs)</t>
  </si>
  <si>
    <t>CHECK - compares vertical and horizontal additions - should be zero</t>
  </si>
  <si>
    <r>
      <t xml:space="preserve">Check - </t>
    </r>
    <r>
      <rPr>
        <b/>
        <i/>
        <sz val="10"/>
        <color theme="5" tint="-0.249977111117893"/>
        <rFont val="Calibri"/>
        <family val="2"/>
        <scheme val="minor"/>
      </rPr>
      <t>ensures allocation basis is fully distributed - should be zero</t>
    </r>
  </si>
  <si>
    <t>Check, ensures allocation basis (Column E) is fully distributed horizontally - should be zero</t>
  </si>
  <si>
    <t>Check to KEY DATA SDU stats - should be zero</t>
  </si>
  <si>
    <t>Check below</t>
  </si>
  <si>
    <t>Existing Contribution Margin</t>
  </si>
  <si>
    <t>Program Profit</t>
  </si>
  <si>
    <t>- Before</t>
  </si>
  <si>
    <t>- After</t>
  </si>
  <si>
    <t>Old Price</t>
  </si>
  <si>
    <t>New Price</t>
  </si>
  <si>
    <t>Change in Overheads - Increase (+) OR Decrease (-)</t>
  </si>
  <si>
    <t xml:space="preserve">Change in SDU Volume - Increase (+) OR Decrease (-) </t>
  </si>
  <si>
    <t>with "WHAT IF?" analysis</t>
  </si>
  <si>
    <t>"WHAT IF ?" - PRICE CHANGE AND/OR SDU VOLUME CHANGE</t>
  </si>
  <si>
    <t>THIS SECTION: Enter total here first</t>
  </si>
  <si>
    <t>Then allocate</t>
  </si>
  <si>
    <t>BREAK EVEN ANALYSIS (units)</t>
  </si>
  <si>
    <t>Overheads higher (+) OR lower (-) per SDU</t>
  </si>
  <si>
    <r>
      <t xml:space="preserve">CLIENT PRICING SUMMARY: </t>
    </r>
    <r>
      <rPr>
        <b/>
        <u/>
        <sz val="12"/>
        <color theme="1"/>
        <rFont val="Calibri"/>
        <family val="2"/>
        <scheme val="minor"/>
      </rPr>
      <t>(ex GST)</t>
    </r>
  </si>
  <si>
    <t>Price Calculated</t>
  </si>
  <si>
    <t>Annual Costs Input ($)</t>
  </si>
  <si>
    <t xml:space="preserve">Annual Costs Input ($) - </t>
  </si>
  <si>
    <t>Cost Allocation Basis (by M2, FTE, $, % etc)</t>
  </si>
  <si>
    <t>Cost Allocation Basis - by % of Use</t>
  </si>
  <si>
    <t>Total Annual Cost Allocation ($)</t>
  </si>
  <si>
    <t>Total Annual Direct Overhead Costs ($)</t>
  </si>
  <si>
    <t>Projected Occupancy (Bed Days)</t>
  </si>
  <si>
    <r>
      <t xml:space="preserve"> - Admin Indirect O/H </t>
    </r>
    <r>
      <rPr>
        <i/>
        <sz val="11"/>
        <color theme="1"/>
        <rFont val="Calibri"/>
        <family val="2"/>
        <scheme val="minor"/>
      </rPr>
      <t>(from Admin OH spreadsheet)</t>
    </r>
  </si>
  <si>
    <t>Health Professionals:</t>
  </si>
  <si>
    <t>Position Code</t>
  </si>
  <si>
    <r>
      <t xml:space="preserve">Position Code </t>
    </r>
    <r>
      <rPr>
        <i/>
        <sz val="10"/>
        <color theme="1"/>
        <rFont val="Calibri"/>
        <family val="2"/>
        <scheme val="minor"/>
      </rPr>
      <t>(refer to Health Professionals spreadsheet)</t>
    </r>
  </si>
  <si>
    <t>Position / Item Description</t>
  </si>
  <si>
    <t>All Houses</t>
  </si>
  <si>
    <t>Saftey Margin (in occupied bed days)</t>
  </si>
  <si>
    <t>Break Even Point (in occupied beds days)</t>
  </si>
  <si>
    <t>Assumptions:</t>
  </si>
  <si>
    <t xml:space="preserve">egs </t>
  </si>
  <si>
    <t>Licence</t>
  </si>
  <si>
    <t>Long Service Leave Probability</t>
  </si>
  <si>
    <t>Check (should be zero)</t>
  </si>
  <si>
    <r>
      <t xml:space="preserve">Check </t>
    </r>
    <r>
      <rPr>
        <b/>
        <i/>
        <sz val="9"/>
        <color theme="5" tint="-0.249977111117893"/>
        <rFont val="Calibri"/>
        <family val="2"/>
        <scheme val="minor"/>
      </rPr>
      <t>(should equal zero%)</t>
    </r>
  </si>
  <si>
    <t>Cost Allocation Basis (%)</t>
  </si>
  <si>
    <t>Staff Number (NOT FTE)</t>
  </si>
  <si>
    <t>YES</t>
  </si>
  <si>
    <t>NO</t>
  </si>
  <si>
    <t>Payroll Oncosts:</t>
  </si>
  <si>
    <t>Annual Leave Loading %</t>
  </si>
  <si>
    <t>This is your subjective estimate of the probability that employees will become entitled to LSL. For example, if you consider that 1 in 10 workers will do so then the probability is 10%.  If its 1 in 7, then the probability is 14.3%.</t>
  </si>
  <si>
    <t>WORKERS COMPENSATION &amp; SUPERANNUATION</t>
  </si>
  <si>
    <r>
      <t xml:space="preserve">Hours per Fortnight </t>
    </r>
    <r>
      <rPr>
        <b/>
        <sz val="10"/>
        <color theme="1"/>
        <rFont val="Calibri"/>
        <family val="2"/>
        <scheme val="minor"/>
      </rPr>
      <t>(for one employee)</t>
    </r>
  </si>
  <si>
    <t xml:space="preserve">It is not necessary to enter all assumptions at the commencement of each costing exercise.  Enter your assumptions progressively as you work through the spreadsheet and encounter them along the way.  </t>
  </si>
  <si>
    <t>Annual Service Delivery Units (SDU)</t>
  </si>
  <si>
    <t>Workers Compensation Insurance Rate</t>
  </si>
  <si>
    <t>Property Description</t>
  </si>
  <si>
    <t>Program Allocation Base (M2, FTE, $, % etc)</t>
  </si>
  <si>
    <t>Vehicle Description</t>
  </si>
  <si>
    <t>Rental</t>
  </si>
  <si>
    <t>Annual Lease</t>
  </si>
  <si>
    <t>Registration</t>
  </si>
  <si>
    <t>Total Annual Costs</t>
  </si>
  <si>
    <t>Audit (for Aquittals only)</t>
  </si>
  <si>
    <t>Auto Allocated to Programs</t>
  </si>
  <si>
    <t>(FTE, $, % etc)</t>
  </si>
  <si>
    <t>Cost Allocation Basis (by FTE, Revenue, % etc)</t>
  </si>
  <si>
    <t>Admin Indirect Overheads</t>
  </si>
  <si>
    <t>EXPECTED PROGRAM INCOME &amp; PROFIT ($)</t>
  </si>
  <si>
    <t>ELEMENT COST PER SDU ($)</t>
  </si>
  <si>
    <t>Payroll - Position/Classification</t>
  </si>
  <si>
    <t>Checks for full allocation of Total Annual Cost to Houses - should equal zero</t>
  </si>
  <si>
    <t>Payroll (Indirect)</t>
  </si>
  <si>
    <t>COST  PER CONSULT (SDU)</t>
  </si>
  <si>
    <t>PRICE  PER CONSULT (SDU)</t>
  </si>
  <si>
    <t>Number of Consultations per Annum</t>
  </si>
  <si>
    <t>Total Direct Labour Cost</t>
  </si>
  <si>
    <t>SDUs Per Week</t>
  </si>
  <si>
    <t>Direct Commercial &amp; Fund Raising Overheads</t>
  </si>
  <si>
    <t>Admin Overheads</t>
  </si>
  <si>
    <t>Standard Weekly Hours</t>
  </si>
  <si>
    <t>Casual Premium %</t>
  </si>
  <si>
    <t>EBA</t>
  </si>
  <si>
    <t>SCHDS</t>
  </si>
  <si>
    <t>Level 1</t>
  </si>
  <si>
    <t>Level 2</t>
  </si>
  <si>
    <t>Level 3</t>
  </si>
  <si>
    <t>Level 4</t>
  </si>
  <si>
    <t>Level 5</t>
  </si>
  <si>
    <t>Level 6</t>
  </si>
  <si>
    <t>Level 7</t>
  </si>
  <si>
    <t>Level 8</t>
  </si>
  <si>
    <t>PAY SCALES at beginning of period</t>
  </si>
  <si>
    <t>Drop Down Box Input</t>
  </si>
  <si>
    <t>Award / EBA</t>
  </si>
  <si>
    <t>Increase %</t>
  </si>
  <si>
    <t>Enterprise Bargaining Agreement</t>
  </si>
  <si>
    <t>Sat</t>
  </si>
  <si>
    <t>Sun</t>
  </si>
  <si>
    <t>Mon-Fri</t>
  </si>
  <si>
    <t>Mon</t>
  </si>
  <si>
    <t>Tue</t>
  </si>
  <si>
    <t>Wed</t>
  </si>
  <si>
    <t>Thu</t>
  </si>
  <si>
    <t>Fri</t>
  </si>
  <si>
    <t>Current</t>
  </si>
  <si>
    <t>Current Date</t>
  </si>
  <si>
    <t>Post - Increment</t>
  </si>
  <si>
    <t>Effective Date dd/mm/yy</t>
  </si>
  <si>
    <t>Award Rate Per Hour</t>
  </si>
  <si>
    <t>Equal Pay Case</t>
  </si>
  <si>
    <t>Current Pay Level</t>
  </si>
  <si>
    <t>Next Increment</t>
  </si>
  <si>
    <t>Pay Increment Due Date dd/mm/yy</t>
  </si>
  <si>
    <t>DATA ENTRY COMPULSORY</t>
  </si>
  <si>
    <t>Over-Award Pay Rate</t>
  </si>
  <si>
    <t>Current Over Award Rate Per Hour</t>
  </si>
  <si>
    <r>
      <t xml:space="preserve">Shift Allowance </t>
    </r>
    <r>
      <rPr>
        <b/>
        <i/>
        <sz val="11"/>
        <color theme="1"/>
        <rFont val="Calibri"/>
        <family val="2"/>
        <scheme val="minor"/>
      </rPr>
      <t>%</t>
    </r>
  </si>
  <si>
    <t>Other Allowances %</t>
  </si>
  <si>
    <t>New Over Award Rate Per Hour</t>
  </si>
  <si>
    <t>From: dd/mm/yy</t>
  </si>
  <si>
    <t>To: dd/mm/yy</t>
  </si>
  <si>
    <t>Post Equal Pay Increase</t>
  </si>
  <si>
    <t>National Wage Case</t>
  </si>
  <si>
    <t>Is Leave Back Filled?</t>
  </si>
  <si>
    <t>Post Nat Wage Increase</t>
  </si>
  <si>
    <t>Proposed Increase</t>
  </si>
  <si>
    <t>Increase % (over 9 yrs)</t>
  </si>
  <si>
    <t>Workers Comp Insur %</t>
  </si>
  <si>
    <t>Super-annuation %</t>
  </si>
  <si>
    <t>Sick Leave days p.a.</t>
  </si>
  <si>
    <t>Annual Leave days p.a.</t>
  </si>
  <si>
    <t>Annual Leave? YES/NO</t>
  </si>
  <si>
    <t>Sick Leave? YES/NO</t>
  </si>
  <si>
    <t>RDO &amp; TOIL? YES/NO</t>
  </si>
  <si>
    <t>Re Annual Leave</t>
  </si>
  <si>
    <t>Re Sick Leave</t>
  </si>
  <si>
    <t>Re RDO &amp; TOIL</t>
  </si>
  <si>
    <t>Hired Labour Costs</t>
  </si>
  <si>
    <t>Leave Backfill (LBF) Costs Per Annum ($)</t>
  </si>
  <si>
    <t>Overtime &amp; Casual Employee Costs</t>
  </si>
  <si>
    <t>Annual Cost Items</t>
  </si>
  <si>
    <t>Years of Service pre-Long Service Leave Entitlement</t>
  </si>
  <si>
    <t>Long Service Leave entitlement (weeks)</t>
  </si>
  <si>
    <t>Roster Day of Week</t>
  </si>
  <si>
    <t>Shift Allowance %</t>
  </si>
  <si>
    <t>DROP DOWN BOX INPUT LISTS</t>
  </si>
  <si>
    <t>% LBF thru Agency Staff</t>
  </si>
  <si>
    <t>% LBF Thru Agency Staff</t>
  </si>
  <si>
    <t>Agency Staff Pay Level</t>
  </si>
  <si>
    <t>Agency Hire Rate per hour (excl GST)</t>
  </si>
  <si>
    <t>CPI Increase %</t>
  </si>
  <si>
    <t>ADMIN INDIRECT OVERHEADS:</t>
  </si>
  <si>
    <t>for non-accommodation services</t>
  </si>
  <si>
    <t>Effective Date (next July 1) dd/mm/yy</t>
  </si>
  <si>
    <t>Effective Date (next Dec 1) dd/mm/yy</t>
  </si>
  <si>
    <t>INDUSTRIAL AWARDS &amp; EBAs:</t>
  </si>
  <si>
    <t>- Lower Tier</t>
  </si>
  <si>
    <t>- Mid Tier</t>
  </si>
  <si>
    <t>- Upper Tier</t>
  </si>
  <si>
    <t>Rate per Hour Excl GST</t>
  </si>
  <si>
    <t>Other Manual Costs:</t>
  </si>
  <si>
    <t>Sleep Over Allowance</t>
  </si>
  <si>
    <t>Pub Holiday Penalty Rate %</t>
  </si>
  <si>
    <t>Pub Holidays Rostered? YES/NO</t>
  </si>
  <si>
    <t>Public Holiday Penalties</t>
  </si>
  <si>
    <t>Long Service Leave Provision</t>
  </si>
  <si>
    <t>N/A</t>
  </si>
  <si>
    <t>Pub Hol &amp; Leave Backfill</t>
  </si>
  <si>
    <t>Costing Period Year Ended:</t>
  </si>
  <si>
    <t>Important General Notice</t>
  </si>
  <si>
    <t>Wage Inflation Rate - Forecast Estimate:</t>
  </si>
  <si>
    <t>The Wage Inflation Rate influences spreadsheet calculations of wages and salaries costs and should be based on your judgement and history of wage inflation relating to your organisation.  The official Consumer Price Inflation (CPI) rate, which the Reserve Bank Of Australia is required to keep within a band of 2% – 3% on average over the cycle, may be a guide to wage inflation but not necessarily.  Australian CPI rates in recent years were:  2008/09 - 3.6%, 2009/10 - 2.7 %, 2010/11 - 2.6%.</t>
  </si>
  <si>
    <r>
      <t xml:space="preserve">This document is intended to give users of the Costing &amp; Pricing Tool an understanding of how to use that tool but it is not intended to be a stand-alone resource. Rather, users should consult appropriate professionals when they seek to utilise the Tool for their own organisation. Additionally, this Manual does not include descriptions regarding all aspects of the Tool nor does it necessarily provide information that is relevant to all Disability Organisations in every situation. While every effort has been made to design the Costing &amp; Pricing Tool and the Manual to meet the needs of the widest possible audience within the Disability Services Sector in Western Australia, it is unlikely that these resources can mirror each exact situation or the experience of every Disability Services Organisation or other organisations that might choose to implement this resource. As such, every reader and user of these resources is strongly encouraged to consider every aspect of the tool in the context of their organisation and to consider which elements fit or do not fit in that context. It is the users’ responsibility to ensure they understand how to apply these resources, to ensure they appreciate the suggested responses and outcomes of calculations made by the Tool, that they understand how such outcomes may be used or interpreted in terms of their funding arrangements and relationships with funders and also that they undertake a review of the resources to ensure they understand the extent to which there are gaps, errors or omissions relative to their organisation. 
</t>
    </r>
    <r>
      <rPr>
        <b/>
        <sz val="12"/>
        <color theme="1"/>
        <rFont val="Arial"/>
        <family val="2"/>
      </rPr>
      <t>All costs and prices are calculated and quoted without considering the effects of the Goods and Services Tax (GST) and its particular application to Disability Services Organisations.</t>
    </r>
    <r>
      <rPr>
        <sz val="12"/>
        <color theme="1"/>
        <rFont val="Arial"/>
        <family val="2"/>
      </rPr>
      <t xml:space="preserve">
</t>
    </r>
    <r>
      <rPr>
        <b/>
        <sz val="12"/>
        <color theme="1"/>
        <rFont val="Arial"/>
        <family val="2"/>
      </rPr>
      <t xml:space="preserve">No responsibility is accepted by National Disability Services or Curtin University in relation to any errors or omissions, or any loss that might arise out of the usage of these materials.
</t>
    </r>
  </si>
  <si>
    <t>Compulsory Superannuation Rate</t>
  </si>
  <si>
    <t>MARK UP %</t>
  </si>
  <si>
    <t>Base Margin %</t>
  </si>
  <si>
    <t>Risk Margin %</t>
  </si>
  <si>
    <t>Total Markup %</t>
  </si>
  <si>
    <t>Costing Period Year Ending:</t>
  </si>
  <si>
    <t>NDS Costing &amp; Pricing Tool</t>
  </si>
  <si>
    <t>DDB Input</t>
  </si>
  <si>
    <t xml:space="preserve"> - Direct Labour</t>
  </si>
  <si>
    <t xml:space="preserve"> - Direct Costs Other</t>
  </si>
  <si>
    <r>
      <t xml:space="preserve"> - Indirect Labour </t>
    </r>
    <r>
      <rPr>
        <i/>
        <sz val="11"/>
        <color theme="1"/>
        <rFont val="Calibri"/>
        <family val="2"/>
        <scheme val="minor"/>
      </rPr>
      <t>(from Payroll spreadsheet)</t>
    </r>
  </si>
  <si>
    <r>
      <t xml:space="preserve"> - Direct Overheads </t>
    </r>
    <r>
      <rPr>
        <i/>
        <sz val="11"/>
        <color theme="1"/>
        <rFont val="Calibri"/>
        <family val="2"/>
        <scheme val="minor"/>
      </rPr>
      <t>(from Direct OH spreadsheet)</t>
    </r>
  </si>
  <si>
    <t>TOTAL COST PER BED DAY</t>
  </si>
  <si>
    <t>Payroll - Indirect</t>
  </si>
  <si>
    <t>Therapy costs</t>
  </si>
  <si>
    <t>Days</t>
  </si>
  <si>
    <t>Hours</t>
  </si>
  <si>
    <t>Agency hours</t>
  </si>
  <si>
    <t>Percentage of revenue</t>
  </si>
  <si>
    <t>CEO Salary</t>
  </si>
  <si>
    <t xml:space="preserve">CURRENT PRICE </t>
  </si>
  <si>
    <t>Annual estimated (loss) / profit</t>
  </si>
  <si>
    <t>Unit based estimated (loss) / profit</t>
  </si>
  <si>
    <t>Accommodation</t>
  </si>
  <si>
    <t>CURRENT PRICE PER BED DAY</t>
  </si>
  <si>
    <t>Modern Award - Residential and HACSIS equivalents</t>
  </si>
  <si>
    <t>HACC</t>
  </si>
  <si>
    <t>Home and Community Care Award 2001</t>
  </si>
  <si>
    <t>Attendant Care - Victoria Award 2004</t>
  </si>
  <si>
    <t>ATTEND</t>
  </si>
  <si>
    <t>SD Version 1.1</t>
  </si>
  <si>
    <t>AVERAGE  annual backfilled RDO &amp; TOIL days per FULL-TIME direct service delivery employee per annum</t>
  </si>
  <si>
    <t>House 1</t>
  </si>
</sst>
</file>

<file path=xl/styles.xml><?xml version="1.0" encoding="utf-8"?>
<styleSheet xmlns="http://schemas.openxmlformats.org/spreadsheetml/2006/main">
  <numFmts count="20">
    <numFmt numFmtId="44" formatCode="_(&quot;$&quot;* #,##0.00_);_(&quot;$&quot;* \(#,##0.00\);_(&quot;$&quot;* &quot;-&quot;??_);_(@_)"/>
    <numFmt numFmtId="43" formatCode="_(* #,##0.00_);_(* \(#,##0.00\);_(* &quot;-&quot;??_);_(@_)"/>
    <numFmt numFmtId="164" formatCode="&quot;$&quot;#,##0;\-&quot;$&quot;#,##0"/>
    <numFmt numFmtId="165" formatCode="&quot;$&quot;#,##0.00;\-&quot;$&quot;#,##0.00"/>
    <numFmt numFmtId="166" formatCode="_-&quot;$&quot;* #,##0_-;\-&quot;$&quot;* #,##0_-;_-&quot;$&quot;* &quot;-&quot;_-;_-@_-"/>
    <numFmt numFmtId="167" formatCode="_-* #,##0_-;\-* #,##0_-;_-* &quot;-&quot;_-;_-@_-"/>
    <numFmt numFmtId="168" formatCode="_-&quot;$&quot;* #,##0.00_-;\-&quot;$&quot;* #,##0.00_-;_-&quot;$&quot;* &quot;-&quot;??_-;_-@_-"/>
    <numFmt numFmtId="169" formatCode="_-* #,##0.00_-;\-* #,##0.00_-;_-* &quot;-&quot;??_-;_-@_-"/>
    <numFmt numFmtId="170" formatCode="_-&quot;$&quot;* #,##0_-;\-&quot;$&quot;* #,##0_-;_-&quot;$&quot;* &quot;-&quot;??_-;_-@_-"/>
    <numFmt numFmtId="171" formatCode="#,##0_ ;\-#,##0\ "/>
    <numFmt numFmtId="172" formatCode="0_ ;\-0\ "/>
    <numFmt numFmtId="173" formatCode="0.0%"/>
    <numFmt numFmtId="174" formatCode="0.0"/>
    <numFmt numFmtId="175" formatCode="#,##0.0_ ;\-#,##0.0\ "/>
    <numFmt numFmtId="176" formatCode="#,##0.00_ ;[Red]\-#,##0.00\ "/>
    <numFmt numFmtId="177" formatCode="d/mm/yy;@"/>
    <numFmt numFmtId="178" formatCode="0.0_ ;\-0.0\ "/>
    <numFmt numFmtId="179" formatCode="0.00_ ;\-0.00\ "/>
    <numFmt numFmtId="180" formatCode="[$-C09]dd\-mmm\-yy;@"/>
    <numFmt numFmtId="181" formatCode="&quot;$&quot;#,##0.00"/>
  </numFmts>
  <fonts count="5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b/>
      <sz val="11"/>
      <name val="Calibri"/>
      <family val="2"/>
      <scheme val="minor"/>
    </font>
    <font>
      <sz val="14"/>
      <color theme="1"/>
      <name val="Calibri"/>
      <family val="2"/>
      <scheme val="minor"/>
    </font>
    <font>
      <sz val="11"/>
      <name val="Calibri"/>
      <family val="2"/>
      <scheme val="minor"/>
    </font>
    <font>
      <b/>
      <i/>
      <sz val="11"/>
      <color theme="1"/>
      <name val="Calibri"/>
      <family val="2"/>
      <scheme val="minor"/>
    </font>
    <font>
      <b/>
      <sz val="10"/>
      <color theme="1"/>
      <name val="Calibri"/>
      <family val="2"/>
      <scheme val="minor"/>
    </font>
    <font>
      <b/>
      <i/>
      <sz val="10"/>
      <color theme="1"/>
      <name val="Calibri"/>
      <family val="2"/>
      <scheme val="minor"/>
    </font>
    <font>
      <b/>
      <i/>
      <sz val="11"/>
      <color theme="0"/>
      <name val="Calibri"/>
      <family val="2"/>
      <scheme val="minor"/>
    </font>
    <font>
      <i/>
      <sz val="9"/>
      <color theme="1"/>
      <name val="Calibri"/>
      <family val="2"/>
      <scheme val="minor"/>
    </font>
    <font>
      <i/>
      <sz val="9"/>
      <color theme="5" tint="-0.249977111117893"/>
      <name val="Calibri"/>
      <family val="2"/>
      <scheme val="minor"/>
    </font>
    <font>
      <sz val="11"/>
      <name val="Calibri"/>
      <family val="2"/>
    </font>
    <font>
      <sz val="11"/>
      <color rgb="FFFF0000"/>
      <name val="Calibri"/>
      <family val="2"/>
    </font>
    <font>
      <i/>
      <sz val="11"/>
      <color theme="1"/>
      <name val="Calibri"/>
      <family val="2"/>
      <scheme val="minor"/>
    </font>
    <font>
      <b/>
      <i/>
      <sz val="9"/>
      <color theme="5" tint="-0.249977111117893"/>
      <name val="Calibri"/>
      <family val="2"/>
      <scheme val="minor"/>
    </font>
    <font>
      <i/>
      <sz val="11"/>
      <color theme="5" tint="-0.249977111117893"/>
      <name val="Calibri"/>
      <family val="2"/>
      <scheme val="minor"/>
    </font>
    <font>
      <sz val="11"/>
      <color theme="5" tint="-0.249977111117893"/>
      <name val="Calibri"/>
      <family val="2"/>
      <scheme val="minor"/>
    </font>
    <font>
      <i/>
      <sz val="10"/>
      <color theme="5" tint="-0.249977111117893"/>
      <name val="Calibri"/>
      <family val="2"/>
      <scheme val="minor"/>
    </font>
    <font>
      <b/>
      <i/>
      <sz val="11"/>
      <color theme="5" tint="-0.249977111117893"/>
      <name val="Calibri"/>
      <family val="2"/>
      <scheme val="minor"/>
    </font>
    <font>
      <b/>
      <sz val="11"/>
      <color theme="0"/>
      <name val="Calibri"/>
      <family val="2"/>
      <scheme val="minor"/>
    </font>
    <font>
      <sz val="11"/>
      <color theme="0"/>
      <name val="Calibri"/>
      <family val="2"/>
      <scheme val="minor"/>
    </font>
    <font>
      <b/>
      <u/>
      <sz val="12"/>
      <color theme="1"/>
      <name val="Calibri"/>
      <family val="2"/>
      <scheme val="minor"/>
    </font>
    <font>
      <b/>
      <sz val="11"/>
      <name val="Calibri"/>
      <family val="2"/>
    </font>
    <font>
      <sz val="14"/>
      <color theme="0"/>
      <name val="Calibri"/>
      <family val="2"/>
      <scheme val="minor"/>
    </font>
    <font>
      <b/>
      <u/>
      <sz val="16"/>
      <color theme="1"/>
      <name val="Calibri"/>
      <family val="2"/>
      <scheme val="minor"/>
    </font>
    <font>
      <b/>
      <i/>
      <sz val="10"/>
      <color theme="5" tint="-0.249977111117893"/>
      <name val="Calibri"/>
      <family val="2"/>
      <scheme val="minor"/>
    </font>
    <font>
      <sz val="10"/>
      <color theme="1"/>
      <name val="Calibri"/>
      <family val="2"/>
      <scheme val="minor"/>
    </font>
    <font>
      <b/>
      <i/>
      <sz val="11"/>
      <name val="Calibri"/>
      <family val="2"/>
      <scheme val="minor"/>
    </font>
    <font>
      <b/>
      <i/>
      <sz val="14"/>
      <color theme="0"/>
      <name val="Calibri"/>
      <family val="2"/>
      <scheme val="minor"/>
    </font>
    <font>
      <b/>
      <sz val="10"/>
      <name val="Calibri"/>
      <family val="2"/>
      <scheme val="minor"/>
    </font>
    <font>
      <i/>
      <sz val="10"/>
      <color theme="1"/>
      <name val="Calibri"/>
      <family val="2"/>
      <scheme val="minor"/>
    </font>
    <font>
      <b/>
      <i/>
      <sz val="11"/>
      <color theme="4" tint="-0.249977111117893"/>
      <name val="Calibri"/>
      <family val="2"/>
      <scheme val="minor"/>
    </font>
    <font>
      <sz val="11"/>
      <color theme="4" tint="-0.249977111117893"/>
      <name val="Calibri"/>
      <family val="2"/>
      <scheme val="minor"/>
    </font>
    <font>
      <b/>
      <sz val="12"/>
      <color theme="4" tint="-0.499984740745262"/>
      <name val="Calibri"/>
      <family val="2"/>
      <scheme val="minor"/>
    </font>
    <font>
      <b/>
      <sz val="20"/>
      <color rgb="FF3B5A6F"/>
      <name val="Calibri"/>
      <family val="2"/>
      <scheme val="minor"/>
    </font>
    <font>
      <sz val="12"/>
      <name val="Calibri"/>
      <family val="2"/>
      <scheme val="minor"/>
    </font>
    <font>
      <sz val="14"/>
      <name val="Calibri"/>
      <family val="2"/>
      <scheme val="minor"/>
    </font>
    <font>
      <i/>
      <sz val="10"/>
      <color theme="1"/>
      <name val="Arial"/>
      <family val="2"/>
    </font>
    <font>
      <i/>
      <sz val="11"/>
      <color theme="0"/>
      <name val="Calibri"/>
      <family val="2"/>
      <scheme val="minor"/>
    </font>
    <font>
      <b/>
      <sz val="16"/>
      <color rgb="FFFF0000"/>
      <name val="Calibri"/>
      <family val="2"/>
      <scheme val="minor"/>
    </font>
    <font>
      <i/>
      <sz val="11"/>
      <color theme="5" tint="-0.24994659260841701"/>
      <name val="Calibri"/>
      <family val="2"/>
      <scheme val="minor"/>
    </font>
    <font>
      <sz val="12"/>
      <color theme="1"/>
      <name val="Arial"/>
      <family val="2"/>
    </font>
    <font>
      <b/>
      <sz val="12"/>
      <color theme="1"/>
      <name val="Arial"/>
      <family val="2"/>
    </font>
    <font>
      <sz val="10"/>
      <color theme="1"/>
      <name val="Tahoma"/>
      <family val="2"/>
    </font>
    <font>
      <sz val="11"/>
      <name val="Times New Roman"/>
      <family val="1"/>
    </font>
  </fonts>
  <fills count="47">
    <fill>
      <patternFill patternType="none"/>
    </fill>
    <fill>
      <patternFill patternType="gray125"/>
    </fill>
    <fill>
      <patternFill patternType="solid">
        <fgColor theme="4" tint="0.39997558519241921"/>
        <bgColor indexed="64"/>
      </patternFill>
    </fill>
    <fill>
      <patternFill patternType="solid">
        <fgColor theme="6" tint="0.39997558519241921"/>
        <bgColor indexed="64"/>
      </patternFill>
    </fill>
    <fill>
      <patternFill patternType="solid">
        <fgColor rgb="FFC4D79B"/>
        <bgColor rgb="FF000000"/>
      </patternFill>
    </fill>
    <fill>
      <patternFill patternType="lightUp">
        <bgColor theme="4" tint="0.39994506668294322"/>
      </patternFill>
    </fill>
    <fill>
      <patternFill patternType="lightUp">
        <bgColor theme="4" tint="0.39997558519241921"/>
      </patternFill>
    </fill>
    <fill>
      <patternFill patternType="solid">
        <fgColor theme="6" tint="0.39994506668294322"/>
        <bgColor indexed="64"/>
      </patternFill>
    </fill>
    <fill>
      <patternFill patternType="solid">
        <fgColor theme="6" tint="-0.249977111117893"/>
        <bgColor indexed="64"/>
      </patternFill>
    </fill>
    <fill>
      <patternFill patternType="solid">
        <fgColor theme="4" tint="0.3999450666829432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6" tint="0.59999389629810485"/>
        <bgColor rgb="FF000000"/>
      </patternFill>
    </fill>
    <fill>
      <patternFill patternType="solid">
        <fgColor theme="4" tint="0.59999389629810485"/>
        <bgColor indexed="64"/>
      </patternFill>
    </fill>
    <fill>
      <patternFill patternType="solid">
        <fgColor theme="4" tint="-0.249977111117893"/>
        <bgColor indexed="64"/>
      </patternFill>
    </fill>
    <fill>
      <patternFill patternType="solid">
        <fgColor theme="6" tint="0.79998168889431442"/>
        <bgColor indexed="64"/>
      </patternFill>
    </fill>
    <fill>
      <patternFill patternType="solid">
        <fgColor theme="5" tint="0.59996337778862885"/>
        <bgColor indexed="64"/>
      </patternFill>
    </fill>
    <fill>
      <patternFill patternType="lightUp">
        <bgColor theme="4" tint="0.39988402966399123"/>
      </patternFill>
    </fill>
    <fill>
      <patternFill patternType="solid">
        <fgColor theme="7" tint="-0.249977111117893"/>
        <bgColor indexed="64"/>
      </patternFill>
    </fill>
    <fill>
      <patternFill patternType="lightUp">
        <bgColor theme="7" tint="-0.249977111117893"/>
      </patternFill>
    </fill>
    <fill>
      <patternFill patternType="solid">
        <fgColor theme="0" tint="-4.9989318521683403E-2"/>
        <bgColor indexed="64"/>
      </patternFill>
    </fill>
    <fill>
      <patternFill patternType="lightUp">
        <fgColor theme="5" tint="-0.24994659260841701"/>
        <bgColor theme="5" tint="0.59999389629810485"/>
      </patternFill>
    </fill>
    <fill>
      <patternFill patternType="lightUp">
        <fgColor theme="4" tint="-0.24994659260841701"/>
        <bgColor theme="4" tint="0.59999389629810485"/>
      </patternFill>
    </fill>
    <fill>
      <patternFill patternType="lightUp">
        <fgColor auto="1"/>
        <bgColor theme="7" tint="-0.249977111117893"/>
      </patternFill>
    </fill>
    <fill>
      <patternFill patternType="solid">
        <fgColor theme="4" tint="-0.499984740745262"/>
        <bgColor indexed="64"/>
      </patternFill>
    </fill>
    <fill>
      <patternFill patternType="solid">
        <fgColor theme="0"/>
        <bgColor indexed="64"/>
      </patternFill>
    </fill>
    <fill>
      <patternFill patternType="lightUp">
        <bgColor theme="4" tint="0.59999389629810485"/>
      </patternFill>
    </fill>
    <fill>
      <patternFill patternType="solid">
        <fgColor theme="5" tint="0.59999389629810485"/>
        <bgColor theme="5" tint="-0.24994659260841701"/>
      </patternFill>
    </fill>
    <fill>
      <patternFill patternType="solid">
        <fgColor theme="6" tint="0.59996337778862885"/>
        <bgColor indexed="64"/>
      </patternFill>
    </fill>
    <fill>
      <patternFill patternType="solid">
        <fgColor theme="4" tint="0.59996337778862885"/>
        <bgColor indexed="64"/>
      </patternFill>
    </fill>
    <fill>
      <patternFill patternType="solid">
        <fgColor theme="2" tint="-0.499984740745262"/>
        <bgColor indexed="64"/>
      </patternFill>
    </fill>
    <fill>
      <patternFill patternType="solid">
        <fgColor theme="2" tint="-0.24994659260841701"/>
        <bgColor indexed="64"/>
      </patternFill>
    </fill>
    <fill>
      <patternFill patternType="solid">
        <fgColor theme="6" tint="-0.24994659260841701"/>
        <bgColor indexed="64"/>
      </patternFill>
    </fill>
    <fill>
      <patternFill patternType="solid">
        <fgColor theme="5" tint="0.3999450666829432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6" tint="0.39994506668294322"/>
        <bgColor theme="4" tint="-0.24994659260841701"/>
      </patternFill>
    </fill>
    <fill>
      <patternFill patternType="solid">
        <fgColor theme="6" tint="0.59999389629810485"/>
        <bgColor theme="4" tint="-0.24994659260841701"/>
      </patternFill>
    </fill>
    <fill>
      <patternFill patternType="solid">
        <fgColor rgb="FFFFC000"/>
        <bgColor indexed="64"/>
      </patternFill>
    </fill>
    <fill>
      <patternFill patternType="solid">
        <fgColor rgb="FFFFD28F"/>
        <bgColor indexed="64"/>
      </patternFill>
    </fill>
    <fill>
      <patternFill patternType="solid">
        <fgColor theme="7" tint="0.39994506668294322"/>
        <bgColor indexed="64"/>
      </patternFill>
    </fill>
    <fill>
      <patternFill patternType="solid">
        <fgColor theme="7" tint="0.59999389629810485"/>
        <bgColor indexed="64"/>
      </patternFill>
    </fill>
    <fill>
      <patternFill patternType="solid">
        <fgColor theme="4" tint="0.39997558519241921"/>
        <bgColor theme="4" tint="-0.24994659260841701"/>
      </patternFill>
    </fill>
    <fill>
      <patternFill patternType="lightUp">
        <fgColor auto="1"/>
        <bgColor theme="4" tint="-0.24994659260841701"/>
      </patternFill>
    </fill>
    <fill>
      <patternFill patternType="lightUp">
        <fgColor auto="1"/>
        <bgColor theme="4" tint="0.39994506668294322"/>
      </patternFill>
    </fill>
    <fill>
      <patternFill patternType="lightUp">
        <fgColor auto="1"/>
        <bgColor theme="7" tint="-0.24994659260841701"/>
      </patternFill>
    </fill>
    <fill>
      <patternFill patternType="solid">
        <fgColor theme="4" tint="-0.24994659260841701"/>
        <bgColor indexed="64"/>
      </patternFill>
    </fill>
  </fills>
  <borders count="1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right/>
      <top style="double">
        <color indexed="64"/>
      </top>
      <bottom/>
      <diagonal/>
    </border>
    <border>
      <left style="medium">
        <color indexed="64"/>
      </left>
      <right style="thin">
        <color indexed="64"/>
      </right>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double">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theme="5" tint="-0.499984740745262"/>
      </right>
      <top style="medium">
        <color theme="5" tint="-0.499984740745262"/>
      </top>
      <bottom style="medium">
        <color theme="5" tint="-0.499984740745262"/>
      </bottom>
      <diagonal/>
    </border>
    <border>
      <left style="medium">
        <color indexed="64"/>
      </left>
      <right style="medium">
        <color theme="5" tint="-0.499984740745262"/>
      </right>
      <top style="medium">
        <color theme="5" tint="-0.499984740745262"/>
      </top>
      <bottom/>
      <diagonal/>
    </border>
    <border>
      <left style="medium">
        <color indexed="64"/>
      </left>
      <right style="medium">
        <color theme="5" tint="-0.499984740745262"/>
      </right>
      <top/>
      <bottom style="medium">
        <color theme="5" tint="-0.499984740745262"/>
      </bottom>
      <diagonal/>
    </border>
    <border>
      <left/>
      <right style="dashed">
        <color theme="5" tint="-0.499984740745262"/>
      </right>
      <top style="dashed">
        <color theme="5" tint="-0.499984740745262"/>
      </top>
      <bottom style="dashed">
        <color theme="5" tint="-0.499984740745262"/>
      </bottom>
      <diagonal/>
    </border>
    <border>
      <left style="thin">
        <color indexed="64"/>
      </left>
      <right style="thin">
        <color indexed="64"/>
      </right>
      <top style="double">
        <color theme="0"/>
      </top>
      <bottom style="double">
        <color theme="0"/>
      </bottom>
      <diagonal/>
    </border>
    <border>
      <left style="thin">
        <color indexed="64"/>
      </left>
      <right style="double">
        <color theme="0"/>
      </right>
      <top style="double">
        <color theme="0"/>
      </top>
      <bottom style="double">
        <color theme="0"/>
      </bottom>
      <diagonal/>
    </border>
    <border>
      <left style="double">
        <color theme="0"/>
      </left>
      <right style="thin">
        <color indexed="64"/>
      </right>
      <top style="double">
        <color theme="0"/>
      </top>
      <bottom style="double">
        <color theme="0"/>
      </bottom>
      <diagonal/>
    </border>
    <border>
      <left/>
      <right style="double">
        <color theme="0"/>
      </right>
      <top style="double">
        <color theme="0"/>
      </top>
      <bottom style="double">
        <color theme="0"/>
      </bottom>
      <diagonal/>
    </border>
    <border>
      <left/>
      <right/>
      <top style="double">
        <color theme="0"/>
      </top>
      <bottom style="double">
        <color theme="0"/>
      </bottom>
      <diagonal/>
    </border>
    <border>
      <left/>
      <right style="medium">
        <color indexed="64"/>
      </right>
      <top style="thin">
        <color indexed="64"/>
      </top>
      <bottom/>
      <diagonal/>
    </border>
    <border>
      <left/>
      <right/>
      <top style="dashed">
        <color theme="5" tint="-0.24994659260841701"/>
      </top>
      <bottom/>
      <diagonal/>
    </border>
    <border>
      <left/>
      <right style="dashed">
        <color theme="5" tint="-0.24994659260841701"/>
      </right>
      <top style="dashed">
        <color theme="5" tint="-0.24994659260841701"/>
      </top>
      <bottom/>
      <diagonal/>
    </border>
    <border>
      <left/>
      <right/>
      <top/>
      <bottom style="dashed">
        <color theme="5" tint="-0.24994659260841701"/>
      </bottom>
      <diagonal/>
    </border>
    <border>
      <left/>
      <right style="dashed">
        <color theme="5" tint="-0.24994659260841701"/>
      </right>
      <top/>
      <bottom style="dashed">
        <color theme="5" tint="-0.24994659260841701"/>
      </bottom>
      <diagonal/>
    </border>
    <border>
      <left/>
      <right style="dashed">
        <color theme="5" tint="-0.24994659260841701"/>
      </right>
      <top/>
      <bottom/>
      <diagonal/>
    </border>
    <border>
      <left/>
      <right/>
      <top/>
      <bottom style="double">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double">
        <color indexed="64"/>
      </bottom>
      <diagonal/>
    </border>
    <border>
      <left style="double">
        <color theme="0"/>
      </left>
      <right style="double">
        <color theme="0"/>
      </right>
      <top style="double">
        <color theme="0"/>
      </top>
      <bottom/>
      <diagonal/>
    </border>
    <border>
      <left style="double">
        <color theme="0"/>
      </left>
      <right style="double">
        <color theme="0"/>
      </right>
      <top/>
      <bottom/>
      <diagonal/>
    </border>
    <border>
      <left style="double">
        <color theme="0"/>
      </left>
      <right style="double">
        <color theme="0"/>
      </right>
      <top/>
      <bottom style="double">
        <color theme="0"/>
      </bottom>
      <diagonal/>
    </border>
    <border>
      <left style="double">
        <color theme="0"/>
      </left>
      <right style="double">
        <color theme="0"/>
      </right>
      <top style="double">
        <color theme="0"/>
      </top>
      <bottom style="thin">
        <color theme="0"/>
      </bottom>
      <diagonal/>
    </border>
    <border>
      <left style="double">
        <color theme="0"/>
      </left>
      <right style="double">
        <color theme="0"/>
      </right>
      <top style="thin">
        <color theme="0"/>
      </top>
      <bottom style="thin">
        <color theme="0"/>
      </bottom>
      <diagonal/>
    </border>
    <border>
      <left style="double">
        <color theme="0"/>
      </left>
      <right style="double">
        <color theme="0"/>
      </right>
      <top style="thin">
        <color theme="0"/>
      </top>
      <bottom style="double">
        <color theme="0"/>
      </bottom>
      <diagonal/>
    </border>
    <border>
      <left style="medium">
        <color theme="5" tint="-0.24994659260841701"/>
      </left>
      <right style="medium">
        <color theme="5" tint="-0.24994659260841701"/>
      </right>
      <top style="medium">
        <color theme="5" tint="-0.24994659260841701"/>
      </top>
      <bottom/>
      <diagonal/>
    </border>
    <border>
      <left style="medium">
        <color theme="5" tint="-0.24994659260841701"/>
      </left>
      <right style="medium">
        <color theme="5" tint="-0.24994659260841701"/>
      </right>
      <top/>
      <bottom style="medium">
        <color theme="5" tint="-0.24994659260841701"/>
      </bottom>
      <diagonal/>
    </border>
    <border>
      <left style="medium">
        <color theme="5" tint="-0.24994659260841701"/>
      </left>
      <right style="medium">
        <color theme="5" tint="-0.24994659260841701"/>
      </right>
      <top/>
      <bottom/>
      <diagonal/>
    </border>
    <border>
      <left style="thin">
        <color indexed="64"/>
      </left>
      <right/>
      <top/>
      <bottom style="double">
        <color indexed="64"/>
      </bottom>
      <diagonal/>
    </border>
    <border>
      <left style="medium">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medium">
        <color theme="5" tint="-0.499984740745262"/>
      </top>
      <bottom/>
      <diagonal/>
    </border>
    <border>
      <left/>
      <right style="medium">
        <color theme="5" tint="-0.24994659260841701"/>
      </right>
      <top style="medium">
        <color auto="1"/>
      </top>
      <bottom/>
      <diagonal/>
    </border>
    <border>
      <left/>
      <right style="medium">
        <color theme="5" tint="-0.24994659260841701"/>
      </right>
      <top/>
      <bottom/>
      <diagonal/>
    </border>
    <border>
      <left/>
      <right style="medium">
        <color theme="5" tint="-0.24994659260841701"/>
      </right>
      <top/>
      <bottom style="medium">
        <color indexed="64"/>
      </bottom>
      <diagonal/>
    </border>
    <border>
      <left style="thin">
        <color indexed="64"/>
      </left>
      <right style="medium">
        <color theme="5" tint="-0.24994659260841701"/>
      </right>
      <top style="medium">
        <color indexed="64"/>
      </top>
      <bottom style="thin">
        <color indexed="64"/>
      </bottom>
      <diagonal/>
    </border>
    <border>
      <left style="thin">
        <color indexed="64"/>
      </left>
      <right style="medium">
        <color theme="5" tint="-0.24994659260841701"/>
      </right>
      <top style="thin">
        <color indexed="64"/>
      </top>
      <bottom style="thin">
        <color indexed="64"/>
      </bottom>
      <diagonal/>
    </border>
    <border>
      <left style="thin">
        <color indexed="64"/>
      </left>
      <right style="medium">
        <color theme="5" tint="-0.24994659260841701"/>
      </right>
      <top style="thin">
        <color indexed="64"/>
      </top>
      <bottom style="medium">
        <color indexed="64"/>
      </bottom>
      <diagonal/>
    </border>
    <border>
      <left style="thin">
        <color indexed="64"/>
      </left>
      <right style="medium">
        <color theme="5" tint="-0.24994659260841701"/>
      </right>
      <top/>
      <bottom style="thin">
        <color indexed="64"/>
      </bottom>
      <diagonal/>
    </border>
    <border>
      <left style="thin">
        <color auto="1"/>
      </left>
      <right style="medium">
        <color theme="5" tint="-0.24994659260841701"/>
      </right>
      <top style="double">
        <color theme="0"/>
      </top>
      <bottom style="double">
        <color theme="0"/>
      </bottom>
      <diagonal/>
    </border>
    <border>
      <left style="dashed">
        <color theme="5" tint="-0.24994659260841701"/>
      </left>
      <right/>
      <top/>
      <bottom/>
      <diagonal/>
    </border>
    <border>
      <left style="dashed">
        <color theme="5" tint="-0.24994659260841701"/>
      </left>
      <right/>
      <top/>
      <bottom style="dashed">
        <color theme="5" tint="-0.24994659260841701"/>
      </bottom>
      <diagonal/>
    </border>
    <border>
      <left style="medium">
        <color indexed="64"/>
      </left>
      <right style="medium">
        <color theme="5" tint="-0.499984740745262"/>
      </right>
      <top style="medium">
        <color indexed="64"/>
      </top>
      <bottom style="double">
        <color theme="5" tint="-0.24994659260841701"/>
      </bottom>
      <diagonal/>
    </border>
    <border>
      <left style="medium">
        <color theme="5" tint="-0.24994659260841701"/>
      </left>
      <right style="medium">
        <color theme="5" tint="-0.24994659260841701"/>
      </right>
      <top style="medium">
        <color theme="5" tint="-0.24994659260841701"/>
      </top>
      <bottom style="thin">
        <color theme="5" tint="-0.499984740745262"/>
      </bottom>
      <diagonal/>
    </border>
    <border>
      <left style="medium">
        <color theme="5" tint="-0.24994659260841701"/>
      </left>
      <right style="medium">
        <color theme="5" tint="-0.24994659260841701"/>
      </right>
      <top style="thin">
        <color theme="5" tint="-0.499984740745262"/>
      </top>
      <bottom style="thin">
        <color theme="5" tint="-0.499984740745262"/>
      </bottom>
      <diagonal/>
    </border>
    <border>
      <left style="medium">
        <color theme="5" tint="-0.24994659260841701"/>
      </left>
      <right style="medium">
        <color theme="5" tint="-0.24994659260841701"/>
      </right>
      <top style="thin">
        <color theme="5" tint="-0.499984740745262"/>
      </top>
      <bottom style="medium">
        <color theme="5" tint="-0.24994659260841701"/>
      </bottom>
      <diagonal/>
    </border>
    <border>
      <left style="medium">
        <color theme="5" tint="-0.499984740745262"/>
      </left>
      <right/>
      <top style="dashed">
        <color theme="5" tint="-0.499984740745262"/>
      </top>
      <bottom style="dashed">
        <color theme="5" tint="-0.499984740745262"/>
      </bottom>
      <diagonal/>
    </border>
    <border>
      <left/>
      <right/>
      <top style="dashed">
        <color theme="5" tint="-0.499984740745262"/>
      </top>
      <bottom style="dashed">
        <color theme="5" tint="-0.499984740745262"/>
      </bottom>
      <diagonal/>
    </border>
    <border>
      <left style="medium">
        <color theme="5" tint="-0.24994659260841701"/>
      </left>
      <right style="medium">
        <color theme="5" tint="-0.24994659260841701"/>
      </right>
      <top style="medium">
        <color theme="5" tint="-0.24994659260841701"/>
      </top>
      <bottom style="thin">
        <color theme="5" tint="-0.24994659260841701"/>
      </bottom>
      <diagonal/>
    </border>
    <border>
      <left style="medium">
        <color theme="5" tint="-0.24994659260841701"/>
      </left>
      <right style="medium">
        <color theme="5" tint="-0.24994659260841701"/>
      </right>
      <top style="thin">
        <color theme="5" tint="-0.24994659260841701"/>
      </top>
      <bottom style="thin">
        <color theme="5" tint="-0.24994659260841701"/>
      </bottom>
      <diagonal/>
    </border>
    <border>
      <left style="medium">
        <color theme="5" tint="-0.24994659260841701"/>
      </left>
      <right style="medium">
        <color theme="5" tint="-0.24994659260841701"/>
      </right>
      <top style="thin">
        <color theme="5" tint="-0.24994659260841701"/>
      </top>
      <bottom style="medium">
        <color theme="5" tint="-0.24994659260841701"/>
      </bottom>
      <diagonal/>
    </border>
    <border>
      <left/>
      <right style="thin">
        <color indexed="64"/>
      </right>
      <top style="double">
        <color theme="0"/>
      </top>
      <bottom style="double">
        <color theme="0"/>
      </bottom>
      <diagonal/>
    </border>
    <border>
      <left style="double">
        <color theme="0"/>
      </left>
      <right/>
      <top style="double">
        <color theme="0"/>
      </top>
      <bottom style="double">
        <color theme="0"/>
      </bottom>
      <diagonal/>
    </border>
    <border>
      <left style="thin">
        <color indexed="64"/>
      </left>
      <right style="medium">
        <color indexed="64"/>
      </right>
      <top/>
      <bottom style="double">
        <color indexed="64"/>
      </bottom>
      <diagonal/>
    </border>
    <border>
      <left style="thin">
        <color indexed="64"/>
      </left>
      <right style="medium">
        <color theme="5" tint="-0.24994659260841701"/>
      </right>
      <top style="medium">
        <color indexed="64"/>
      </top>
      <bottom style="double">
        <color indexed="64"/>
      </bottom>
      <diagonal/>
    </border>
    <border>
      <left style="medium">
        <color theme="5" tint="-0.24994659260841701"/>
      </left>
      <right/>
      <top/>
      <bottom style="medium">
        <color theme="5" tint="-0.24994659260841701"/>
      </bottom>
      <diagonal/>
    </border>
    <border>
      <left style="medium">
        <color theme="5" tint="-0.24994659260841701"/>
      </left>
      <right style="medium">
        <color theme="5" tint="-0.24994659260841701"/>
      </right>
      <top/>
      <bottom style="thin">
        <color theme="5" tint="-0.24994659260841701"/>
      </bottom>
      <diagonal/>
    </border>
    <border>
      <left style="medium">
        <color theme="5" tint="-0.24994659260841701"/>
      </left>
      <right/>
      <top/>
      <bottom/>
      <diagonal/>
    </border>
    <border>
      <left/>
      <right/>
      <top style="medium">
        <color theme="5" tint="-0.24994659260841701"/>
      </top>
      <bottom/>
      <diagonal/>
    </border>
    <border>
      <left style="medium">
        <color theme="5" tint="-0.24994659260841701"/>
      </left>
      <right/>
      <top style="thin">
        <color theme="5" tint="-0.24994659260841701"/>
      </top>
      <bottom style="medium">
        <color theme="5" tint="-0.24994659260841701"/>
      </bottom>
      <diagonal/>
    </border>
    <border>
      <left style="medium">
        <color theme="5" tint="-0.24994659260841701"/>
      </left>
      <right/>
      <top style="medium">
        <color theme="5" tint="-0.24994659260841701"/>
      </top>
      <bottom/>
      <diagonal/>
    </border>
    <border>
      <left style="medium">
        <color theme="5" tint="-0.24994659260841701"/>
      </left>
      <right style="medium">
        <color indexed="64"/>
      </right>
      <top style="medium">
        <color indexed="64"/>
      </top>
      <bottom style="medium">
        <color indexed="64"/>
      </bottom>
      <diagonal/>
    </border>
    <border>
      <left style="medium">
        <color theme="5" tint="-0.24994659260841701"/>
      </left>
      <right style="medium">
        <color indexed="64"/>
      </right>
      <top style="medium">
        <color indexed="64"/>
      </top>
      <bottom style="thin">
        <color auto="1"/>
      </bottom>
      <diagonal/>
    </border>
    <border>
      <left style="medium">
        <color theme="5" tint="-0.24994659260841701"/>
      </left>
      <right style="medium">
        <color indexed="64"/>
      </right>
      <top style="thin">
        <color auto="1"/>
      </top>
      <bottom style="thin">
        <color auto="1"/>
      </bottom>
      <diagonal/>
    </border>
    <border>
      <left style="medium">
        <color theme="5" tint="-0.24994659260841701"/>
      </left>
      <right style="medium">
        <color indexed="64"/>
      </right>
      <top style="thin">
        <color auto="1"/>
      </top>
      <bottom style="medium">
        <color indexed="64"/>
      </bottom>
      <diagonal/>
    </border>
    <border>
      <left style="medium">
        <color theme="5" tint="-0.24994659260841701"/>
      </left>
      <right style="medium">
        <color indexed="64"/>
      </right>
      <top style="medium">
        <color indexed="64"/>
      </top>
      <bottom style="double">
        <color indexed="64"/>
      </bottom>
      <diagonal/>
    </border>
    <border>
      <left style="medium">
        <color theme="5" tint="-0.24994659260841701"/>
      </left>
      <right style="medium">
        <color indexed="64"/>
      </right>
      <top/>
      <bottom style="thin">
        <color auto="1"/>
      </bottom>
      <diagonal/>
    </border>
    <border>
      <left style="thin">
        <color indexed="64"/>
      </left>
      <right style="medium">
        <color theme="5" tint="-0.24994659260841701"/>
      </right>
      <top/>
      <bottom style="medium">
        <color auto="1"/>
      </bottom>
      <diagonal/>
    </border>
    <border>
      <left style="thin">
        <color indexed="64"/>
      </left>
      <right style="medium">
        <color theme="5" tint="-0.24994659260841701"/>
      </right>
      <top style="medium">
        <color indexed="64"/>
      </top>
      <bottom/>
      <diagonal/>
    </border>
    <border>
      <left/>
      <right style="medium">
        <color indexed="64"/>
      </right>
      <top style="medium">
        <color indexed="64"/>
      </top>
      <bottom style="double">
        <color indexed="64"/>
      </bottom>
      <diagonal/>
    </border>
    <border>
      <left style="double">
        <color theme="0"/>
      </left>
      <right style="double">
        <color theme="0"/>
      </right>
      <top style="double">
        <color theme="0"/>
      </top>
      <bottom style="double">
        <color theme="0"/>
      </bottom>
      <diagonal/>
    </border>
    <border>
      <left/>
      <right style="medium">
        <color theme="5" tint="-0.24994659260841701"/>
      </right>
      <top style="medium">
        <color theme="5" tint="-0.24994659260841701"/>
      </top>
      <bottom/>
      <diagonal/>
    </border>
    <border>
      <left style="medium">
        <color indexed="64"/>
      </left>
      <right/>
      <top style="thin">
        <color indexed="64"/>
      </top>
      <bottom/>
      <diagonal/>
    </border>
    <border>
      <left/>
      <right/>
      <top style="thin">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medium">
        <color indexed="64"/>
      </left>
      <right style="medium">
        <color indexed="64"/>
      </right>
      <top/>
      <bottom style="double">
        <color indexed="64"/>
      </bottom>
      <diagonal/>
    </border>
    <border>
      <left style="thin">
        <color indexed="64"/>
      </left>
      <right style="medium">
        <color indexed="64"/>
      </right>
      <top style="medium">
        <color indexed="64"/>
      </top>
      <bottom/>
      <diagonal/>
    </border>
    <border>
      <left/>
      <right style="medium">
        <color theme="5" tint="-0.24994659260841701"/>
      </right>
      <top style="medium">
        <color indexed="64"/>
      </top>
      <bottom style="thin">
        <color indexed="64"/>
      </bottom>
      <diagonal/>
    </border>
    <border>
      <left/>
      <right style="double">
        <color theme="0"/>
      </right>
      <top/>
      <bottom style="double">
        <color theme="0"/>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dashed">
        <color indexed="64"/>
      </right>
      <top style="dashed">
        <color indexed="64"/>
      </top>
      <bottom style="medium">
        <color indexed="64"/>
      </bottom>
      <diagonal/>
    </border>
    <border>
      <left/>
      <right style="medium">
        <color theme="5" tint="-0.24994659260841701"/>
      </right>
      <top style="medium">
        <color indexed="64"/>
      </top>
      <bottom style="medium">
        <color indexed="64"/>
      </bottom>
      <diagonal/>
    </border>
    <border>
      <left/>
      <right style="medium">
        <color theme="5" tint="-0.24994659260841701"/>
      </right>
      <top/>
      <bottom style="medium">
        <color theme="5" tint="-0.24994659260841701"/>
      </bottom>
      <diagonal/>
    </border>
    <border>
      <left/>
      <right style="medium">
        <color theme="5" tint="-0.24994659260841701"/>
      </right>
      <top style="medium">
        <color theme="5" tint="-0.24994659260841701"/>
      </top>
      <bottom style="double">
        <color theme="5" tint="-0.24994659260841701"/>
      </bottom>
      <diagonal/>
    </border>
    <border>
      <left style="medium">
        <color theme="5" tint="-0.24994659260841701"/>
      </left>
      <right style="dashed">
        <color theme="5" tint="-0.24994659260841701"/>
      </right>
      <top style="dashed">
        <color theme="5" tint="-0.24994659260841701"/>
      </top>
      <bottom/>
      <diagonal/>
    </border>
    <border>
      <left style="medium">
        <color theme="5" tint="-0.24994659260841701"/>
      </left>
      <right style="dashed">
        <color theme="5" tint="-0.24994659260841701"/>
      </right>
      <top/>
      <bottom/>
      <diagonal/>
    </border>
    <border>
      <left style="medium">
        <color theme="5" tint="-0.24994659260841701"/>
      </left>
      <right style="dashed">
        <color theme="5" tint="-0.24994659260841701"/>
      </right>
      <top/>
      <bottom style="dashed">
        <color theme="5" tint="-0.24994659260841701"/>
      </bottom>
      <diagonal/>
    </border>
    <border>
      <left/>
      <right style="thin">
        <color theme="5" tint="-0.24994659260841701"/>
      </right>
      <top/>
      <bottom/>
      <diagonal/>
    </border>
    <border>
      <left style="dashed">
        <color theme="5" tint="-0.24994659260841701"/>
      </left>
      <right/>
      <top style="dashed">
        <color theme="5" tint="-0.24994659260841701"/>
      </top>
      <bottom style="dashed">
        <color theme="5" tint="-0.24994659260841701"/>
      </bottom>
      <diagonal/>
    </border>
    <border>
      <left/>
      <right/>
      <top style="dashed">
        <color theme="5" tint="-0.24994659260841701"/>
      </top>
      <bottom style="dashed">
        <color theme="5" tint="-0.24994659260841701"/>
      </bottom>
      <diagonal/>
    </border>
    <border>
      <left style="thin">
        <color theme="5" tint="-0.24994659260841701"/>
      </left>
      <right style="thin">
        <color theme="5" tint="-0.24994659260841701"/>
      </right>
      <top style="medium">
        <color indexed="64"/>
      </top>
      <bottom style="thin">
        <color theme="5" tint="-0.24994659260841701"/>
      </bottom>
      <diagonal/>
    </border>
    <border>
      <left style="thin">
        <color indexed="64"/>
      </left>
      <right style="medium">
        <color indexed="64"/>
      </right>
      <top/>
      <bottom/>
      <diagonal/>
    </border>
    <border>
      <left style="medium">
        <color theme="5" tint="-0.24994659260841701"/>
      </left>
      <right style="medium">
        <color theme="5" tint="-0.24994659260841701"/>
      </right>
      <top style="medium">
        <color theme="5" tint="-0.24994659260841701"/>
      </top>
      <bottom style="thin">
        <color indexed="64"/>
      </bottom>
      <diagonal/>
    </border>
    <border>
      <left style="medium">
        <color theme="5" tint="-0.24994659260841701"/>
      </left>
      <right style="medium">
        <color theme="5" tint="-0.499984740745262"/>
      </right>
      <top style="medium">
        <color theme="5" tint="-0.24994659260841701"/>
      </top>
      <bottom style="thin">
        <color theme="5" tint="-0.24994659260841701"/>
      </bottom>
      <diagonal/>
    </border>
    <border>
      <left style="medium">
        <color theme="5" tint="-0.24994659260841701"/>
      </left>
      <right style="medium">
        <color theme="5" tint="-0.499984740745262"/>
      </right>
      <top style="thin">
        <color theme="5" tint="-0.24994659260841701"/>
      </top>
      <bottom style="thin">
        <color theme="5" tint="-0.24994659260841701"/>
      </bottom>
      <diagonal/>
    </border>
    <border>
      <left style="medium">
        <color theme="5" tint="-0.24994659260841701"/>
      </left>
      <right style="medium">
        <color theme="5" tint="-0.499984740745262"/>
      </right>
      <top style="thin">
        <color theme="5" tint="-0.24994659260841701"/>
      </top>
      <bottom style="medium">
        <color theme="5" tint="-0.499984740745262"/>
      </bottom>
      <diagonal/>
    </border>
    <border>
      <left style="thin">
        <color indexed="64"/>
      </left>
      <right style="medium">
        <color theme="5" tint="-0.24994659260841701"/>
      </right>
      <top style="thin">
        <color indexed="64"/>
      </top>
      <bottom/>
      <diagonal/>
    </border>
    <border>
      <left style="medium">
        <color indexed="64"/>
      </left>
      <right/>
      <top/>
      <bottom style="double">
        <color indexed="64"/>
      </bottom>
      <diagonal/>
    </border>
  </borders>
  <cellStyleXfs count="9">
    <xf numFmtId="0" fontId="0" fillId="0" borderId="0"/>
    <xf numFmtId="168"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49" fillId="0" borderId="0"/>
    <xf numFmtId="43" fontId="49" fillId="0" borderId="0" applyFont="0" applyFill="0" applyBorder="0" applyAlignment="0" applyProtection="0"/>
    <xf numFmtId="9" fontId="49" fillId="0" borderId="0" applyFont="0" applyFill="0" applyBorder="0" applyAlignment="0" applyProtection="0"/>
    <xf numFmtId="14" fontId="50" fillId="0" borderId="0" applyFont="0" applyFill="0" applyBorder="0" applyAlignment="0" applyProtection="0">
      <protection locked="0"/>
    </xf>
    <xf numFmtId="17" fontId="50" fillId="0" borderId="0" applyFont="0" applyFill="0" applyBorder="0" applyAlignment="0" applyProtection="0">
      <protection locked="0"/>
    </xf>
  </cellStyleXfs>
  <cellXfs count="1606">
    <xf numFmtId="0" fontId="0" fillId="0" borderId="0" xfId="0"/>
    <xf numFmtId="0" fontId="2" fillId="0" borderId="0" xfId="0" applyFont="1"/>
    <xf numFmtId="0" fontId="3" fillId="0" borderId="0" xfId="0" applyFont="1"/>
    <xf numFmtId="0" fontId="4" fillId="0" borderId="0" xfId="0" applyFont="1"/>
    <xf numFmtId="168" fontId="0" fillId="0" borderId="0" xfId="0" applyNumberFormat="1"/>
    <xf numFmtId="0" fontId="5" fillId="0" borderId="0" xfId="0" applyFont="1"/>
    <xf numFmtId="0" fontId="0" fillId="0" borderId="0" xfId="0" applyFill="1"/>
    <xf numFmtId="0" fontId="0" fillId="0" borderId="0" xfId="0" applyFill="1" applyBorder="1"/>
    <xf numFmtId="0" fontId="5" fillId="0" borderId="0" xfId="0" applyFont="1" applyFill="1"/>
    <xf numFmtId="0" fontId="0" fillId="0" borderId="0" xfId="0" applyFont="1"/>
    <xf numFmtId="0" fontId="9" fillId="0" borderId="0" xfId="0" applyFont="1"/>
    <xf numFmtId="0" fontId="9" fillId="0" borderId="0" xfId="0" applyFont="1" applyFill="1"/>
    <xf numFmtId="0" fontId="0" fillId="0" borderId="0" xfId="0" applyFont="1" applyAlignment="1">
      <alignment horizontal="center" vertical="center"/>
    </xf>
    <xf numFmtId="0" fontId="0" fillId="2" borderId="9" xfId="0" applyFont="1" applyFill="1" applyBorder="1"/>
    <xf numFmtId="0" fontId="0" fillId="2" borderId="7" xfId="0" applyFont="1" applyFill="1" applyBorder="1" applyAlignment="1">
      <alignment horizontal="center"/>
    </xf>
    <xf numFmtId="0" fontId="0" fillId="2" borderId="4" xfId="0" applyFont="1" applyFill="1" applyBorder="1"/>
    <xf numFmtId="0" fontId="0" fillId="0" borderId="0" xfId="0" applyFont="1" applyBorder="1"/>
    <xf numFmtId="0" fontId="12" fillId="0" borderId="0" xfId="0" applyFont="1" applyFill="1" applyBorder="1" applyAlignment="1">
      <alignment horizontal="center" wrapText="1"/>
    </xf>
    <xf numFmtId="0" fontId="12" fillId="0" borderId="0" xfId="0" applyFont="1" applyFill="1" applyBorder="1" applyAlignment="1">
      <alignment horizontal="center"/>
    </xf>
    <xf numFmtId="0" fontId="2" fillId="0" borderId="0" xfId="0" applyFont="1" applyBorder="1" applyAlignment="1">
      <alignment horizontal="center" wrapText="1"/>
    </xf>
    <xf numFmtId="0" fontId="0" fillId="0" borderId="0" xfId="0" applyBorder="1"/>
    <xf numFmtId="0" fontId="12" fillId="9" borderId="18" xfId="0" applyFont="1" applyFill="1" applyBorder="1" applyAlignment="1">
      <alignment vertical="center"/>
    </xf>
    <xf numFmtId="0" fontId="12" fillId="0" borderId="55" xfId="0" applyFont="1" applyFill="1" applyBorder="1" applyAlignment="1">
      <alignment vertical="center"/>
    </xf>
    <xf numFmtId="0" fontId="12" fillId="0" borderId="0" xfId="0" applyFont="1" applyFill="1" applyBorder="1" applyAlignment="1">
      <alignment vertical="center"/>
    </xf>
    <xf numFmtId="0" fontId="12" fillId="0" borderId="58" xfId="0" applyFont="1" applyFill="1" applyBorder="1" applyAlignment="1">
      <alignment horizontal="center" wrapText="1"/>
    </xf>
    <xf numFmtId="0" fontId="12" fillId="0" borderId="58" xfId="0" applyFont="1" applyFill="1" applyBorder="1" applyAlignment="1">
      <alignment horizontal="center"/>
    </xf>
    <xf numFmtId="0" fontId="13" fillId="0" borderId="0" xfId="0" applyFont="1" applyAlignment="1">
      <alignment horizontal="right" vertical="center"/>
    </xf>
    <xf numFmtId="168" fontId="0" fillId="0" borderId="0" xfId="1" applyFont="1" applyFill="1" applyBorder="1"/>
    <xf numFmtId="0" fontId="2" fillId="2" borderId="4" xfId="0" applyFont="1" applyFill="1" applyBorder="1" applyAlignment="1">
      <alignment horizontal="center"/>
    </xf>
    <xf numFmtId="0" fontId="10" fillId="3" borderId="23" xfId="0" applyFont="1" applyFill="1" applyBorder="1" applyAlignment="1">
      <alignment horizontal="center"/>
    </xf>
    <xf numFmtId="0" fontId="10" fillId="3" borderId="35" xfId="0" applyFont="1" applyFill="1" applyBorder="1" applyAlignment="1">
      <alignment horizontal="center"/>
    </xf>
    <xf numFmtId="0" fontId="9" fillId="0" borderId="58" xfId="0" applyFont="1" applyBorder="1"/>
    <xf numFmtId="0" fontId="5" fillId="0" borderId="0" xfId="0" applyFont="1" applyFill="1" applyBorder="1"/>
    <xf numFmtId="166" fontId="10" fillId="3" borderId="13" xfId="1" applyNumberFormat="1" applyFont="1" applyFill="1" applyBorder="1"/>
    <xf numFmtId="166" fontId="10" fillId="11" borderId="13" xfId="1" applyNumberFormat="1" applyFont="1" applyFill="1" applyBorder="1"/>
    <xf numFmtId="166" fontId="10" fillId="3" borderId="1" xfId="1" applyNumberFormat="1" applyFont="1" applyFill="1" applyBorder="1"/>
    <xf numFmtId="166" fontId="10" fillId="11" borderId="1" xfId="1" applyNumberFormat="1" applyFont="1" applyFill="1" applyBorder="1"/>
    <xf numFmtId="9" fontId="7" fillId="0" borderId="0" xfId="2" applyFont="1" applyFill="1" applyBorder="1"/>
    <xf numFmtId="9" fontId="0" fillId="0" borderId="0" xfId="2" applyFont="1" applyFill="1" applyBorder="1"/>
    <xf numFmtId="9" fontId="0" fillId="0" borderId="0" xfId="0" applyNumberFormat="1" applyFont="1" applyFill="1" applyBorder="1"/>
    <xf numFmtId="168" fontId="5" fillId="0" borderId="71" xfId="1" applyFont="1" applyFill="1" applyBorder="1"/>
    <xf numFmtId="0" fontId="0" fillId="0" borderId="71" xfId="0" applyFont="1" applyFill="1" applyBorder="1"/>
    <xf numFmtId="168" fontId="0" fillId="0" borderId="71" xfId="0" applyNumberFormat="1" applyFont="1" applyFill="1" applyBorder="1"/>
    <xf numFmtId="0" fontId="0" fillId="2" borderId="9" xfId="0" applyFont="1" applyFill="1" applyBorder="1" applyAlignment="1">
      <alignment horizontal="center"/>
    </xf>
    <xf numFmtId="0" fontId="2" fillId="13" borderId="16" xfId="0" applyFont="1" applyFill="1" applyBorder="1" applyAlignment="1">
      <alignment horizontal="center" wrapText="1"/>
    </xf>
    <xf numFmtId="0" fontId="0" fillId="0" borderId="71" xfId="1" applyNumberFormat="1" applyFont="1" applyFill="1" applyBorder="1"/>
    <xf numFmtId="168" fontId="5" fillId="0" borderId="0" xfId="0" applyNumberFormat="1" applyFont="1" applyFill="1" applyBorder="1"/>
    <xf numFmtId="0" fontId="0" fillId="0" borderId="58" xfId="0" applyFont="1" applyBorder="1"/>
    <xf numFmtId="0" fontId="0" fillId="0" borderId="0" xfId="0" applyFont="1" applyFill="1"/>
    <xf numFmtId="166" fontId="2" fillId="13" borderId="65" xfId="0" applyNumberFormat="1" applyFont="1" applyFill="1" applyBorder="1"/>
    <xf numFmtId="166" fontId="2" fillId="13" borderId="68" xfId="0" applyNumberFormat="1" applyFont="1" applyFill="1" applyBorder="1"/>
    <xf numFmtId="0" fontId="0" fillId="7" borderId="41" xfId="0" applyFill="1" applyBorder="1"/>
    <xf numFmtId="0" fontId="0" fillId="3" borderId="39" xfId="0" applyFont="1" applyFill="1" applyBorder="1"/>
    <xf numFmtId="0" fontId="0" fillId="3" borderId="40" xfId="0" applyFont="1" applyFill="1" applyBorder="1"/>
    <xf numFmtId="0" fontId="2" fillId="2" borderId="4" xfId="0" applyFont="1" applyFill="1" applyBorder="1"/>
    <xf numFmtId="0" fontId="0" fillId="2" borderId="3" xfId="0" applyFont="1" applyFill="1" applyBorder="1" applyAlignment="1">
      <alignment horizontal="center"/>
    </xf>
    <xf numFmtId="0" fontId="14" fillId="14" borderId="3" xfId="0" applyFont="1" applyFill="1" applyBorder="1"/>
    <xf numFmtId="0" fontId="14" fillId="8" borderId="3" xfId="0" applyFont="1" applyFill="1" applyBorder="1"/>
    <xf numFmtId="0" fontId="9" fillId="0" borderId="0" xfId="0" applyFont="1" applyFill="1" applyBorder="1"/>
    <xf numFmtId="0" fontId="0" fillId="0" borderId="0" xfId="0" applyFont="1" applyFill="1" applyBorder="1"/>
    <xf numFmtId="0" fontId="18" fillId="0" borderId="0" xfId="0" applyFont="1" applyFill="1" applyBorder="1" applyAlignment="1">
      <alignment horizontal="center"/>
    </xf>
    <xf numFmtId="0" fontId="18" fillId="0" borderId="0" xfId="0" applyFont="1" applyFill="1" applyBorder="1"/>
    <xf numFmtId="0" fontId="0" fillId="0" borderId="0" xfId="0" applyFont="1" applyFill="1" applyBorder="1" applyAlignment="1">
      <alignment horizontal="center"/>
    </xf>
    <xf numFmtId="0" fontId="2" fillId="0" borderId="0" xfId="0" applyFont="1" applyFill="1" applyBorder="1"/>
    <xf numFmtId="165" fontId="0" fillId="0" borderId="0" xfId="0" applyNumberFormat="1" applyFont="1" applyFill="1" applyBorder="1"/>
    <xf numFmtId="0" fontId="17" fillId="0" borderId="0" xfId="0" applyFont="1" applyFill="1" applyBorder="1" applyAlignment="1">
      <alignment horizontal="center"/>
    </xf>
    <xf numFmtId="0" fontId="17" fillId="0" borderId="0" xfId="0" applyFont="1" applyFill="1" applyBorder="1"/>
    <xf numFmtId="0" fontId="19" fillId="0" borderId="0" xfId="0" applyFont="1" applyFill="1" applyBorder="1"/>
    <xf numFmtId="0" fontId="15" fillId="0" borderId="0" xfId="0" applyFont="1" applyFill="1" applyBorder="1"/>
    <xf numFmtId="0" fontId="2" fillId="2" borderId="18" xfId="0" applyFont="1" applyFill="1" applyBorder="1" applyAlignment="1">
      <alignment horizontal="right" vertical="center"/>
    </xf>
    <xf numFmtId="0" fontId="0" fillId="0" borderId="19" xfId="0" applyFont="1" applyBorder="1"/>
    <xf numFmtId="0" fontId="2" fillId="15" borderId="19" xfId="0" applyFont="1" applyFill="1" applyBorder="1"/>
    <xf numFmtId="0" fontId="0" fillId="15" borderId="19" xfId="0" applyFont="1" applyFill="1" applyBorder="1"/>
    <xf numFmtId="172" fontId="21" fillId="10" borderId="84" xfId="0" applyNumberFormat="1" applyFont="1" applyFill="1" applyBorder="1" applyAlignment="1">
      <alignment vertical="center"/>
    </xf>
    <xf numFmtId="0" fontId="16" fillId="0" borderId="0" xfId="0" applyFont="1" applyFill="1" applyBorder="1"/>
    <xf numFmtId="9" fontId="2" fillId="0" borderId="0" xfId="0" applyNumberFormat="1" applyFont="1" applyFill="1" applyBorder="1"/>
    <xf numFmtId="9" fontId="2" fillId="2" borderId="45" xfId="0" applyNumberFormat="1" applyFont="1" applyFill="1" applyBorder="1"/>
    <xf numFmtId="9" fontId="2" fillId="2" borderId="83" xfId="0" applyNumberFormat="1" applyFont="1" applyFill="1" applyBorder="1"/>
    <xf numFmtId="9" fontId="2" fillId="2" borderId="78" xfId="0" applyNumberFormat="1" applyFont="1" applyFill="1" applyBorder="1"/>
    <xf numFmtId="0" fontId="21" fillId="0" borderId="0" xfId="0" applyFont="1" applyFill="1" applyBorder="1"/>
    <xf numFmtId="0" fontId="0" fillId="0" borderId="75" xfId="0" applyFont="1" applyFill="1" applyBorder="1"/>
    <xf numFmtId="0" fontId="0" fillId="0" borderId="29" xfId="0" applyFont="1" applyFill="1" applyBorder="1"/>
    <xf numFmtId="0" fontId="0" fillId="0" borderId="0" xfId="1" applyNumberFormat="1" applyFont="1" applyFill="1" applyBorder="1"/>
    <xf numFmtId="0" fontId="0" fillId="2" borderId="28" xfId="0" applyFont="1" applyFill="1" applyBorder="1"/>
    <xf numFmtId="0" fontId="0" fillId="2" borderId="55" xfId="0" applyFont="1" applyFill="1" applyBorder="1"/>
    <xf numFmtId="0" fontId="19" fillId="0" borderId="0" xfId="0" applyFont="1"/>
    <xf numFmtId="0" fontId="19" fillId="0" borderId="0" xfId="0" applyFont="1" applyAlignment="1">
      <alignment horizontal="right"/>
    </xf>
    <xf numFmtId="15" fontId="19" fillId="0" borderId="0" xfId="0" applyNumberFormat="1" applyFont="1"/>
    <xf numFmtId="0" fontId="6" fillId="0" borderId="0" xfId="0" applyFont="1" applyAlignment="1">
      <alignment horizontal="right"/>
    </xf>
    <xf numFmtId="0" fontId="27" fillId="0" borderId="0" xfId="0" applyFont="1"/>
    <xf numFmtId="0" fontId="26" fillId="18" borderId="89" xfId="0" applyFont="1" applyFill="1" applyBorder="1" applyAlignment="1">
      <alignment horizontal="center" vertical="center"/>
    </xf>
    <xf numFmtId="168" fontId="25" fillId="18" borderId="88" xfId="1" applyNumberFormat="1" applyFont="1" applyFill="1" applyBorder="1" applyAlignment="1">
      <alignment vertical="center"/>
    </xf>
    <xf numFmtId="0" fontId="2" fillId="0" borderId="59" xfId="0" applyFont="1" applyFill="1" applyBorder="1" applyAlignment="1">
      <alignment horizontal="center" wrapText="1"/>
    </xf>
    <xf numFmtId="0" fontId="2" fillId="0" borderId="58" xfId="0" applyFont="1" applyFill="1" applyBorder="1"/>
    <xf numFmtId="0" fontId="2" fillId="0" borderId="29" xfId="0" applyFont="1" applyFill="1" applyBorder="1"/>
    <xf numFmtId="9" fontId="2" fillId="0" borderId="29" xfId="0" applyNumberFormat="1" applyFont="1" applyFill="1" applyBorder="1"/>
    <xf numFmtId="168" fontId="2" fillId="0" borderId="58" xfId="1" applyNumberFormat="1" applyFont="1" applyFill="1" applyBorder="1"/>
    <xf numFmtId="0" fontId="2" fillId="13" borderId="21" xfId="0" applyFont="1" applyFill="1" applyBorder="1" applyAlignment="1">
      <alignment horizontal="center" wrapText="1"/>
    </xf>
    <xf numFmtId="0" fontId="2" fillId="0" borderId="58" xfId="0" applyFont="1" applyFill="1" applyBorder="1" applyAlignment="1"/>
    <xf numFmtId="0" fontId="21" fillId="0" borderId="0" xfId="0" applyFont="1" applyFill="1" applyBorder="1" applyAlignment="1">
      <alignment vertical="top" wrapText="1"/>
    </xf>
    <xf numFmtId="0" fontId="2" fillId="2" borderId="16" xfId="0" applyFont="1" applyFill="1" applyBorder="1" applyAlignment="1">
      <alignment horizontal="center" vertical="center" wrapText="1"/>
    </xf>
    <xf numFmtId="15" fontId="19" fillId="0" borderId="0" xfId="0" applyNumberFormat="1" applyFont="1" applyAlignment="1">
      <alignment horizontal="center"/>
    </xf>
    <xf numFmtId="166" fontId="0" fillId="2" borderId="93" xfId="0" applyNumberFormat="1" applyFont="1" applyFill="1" applyBorder="1"/>
    <xf numFmtId="166" fontId="0" fillId="2" borderId="11" xfId="0" applyNumberFormat="1" applyFont="1" applyFill="1" applyBorder="1"/>
    <xf numFmtId="0" fontId="18" fillId="3" borderId="55" xfId="0" applyFont="1" applyFill="1" applyBorder="1"/>
    <xf numFmtId="0" fontId="18" fillId="2" borderId="55" xfId="0" applyFont="1" applyFill="1" applyBorder="1"/>
    <xf numFmtId="0" fontId="17" fillId="20" borderId="0" xfId="0" applyFont="1" applyFill="1" applyBorder="1"/>
    <xf numFmtId="0" fontId="18" fillId="20" borderId="0" xfId="0" applyFont="1" applyFill="1" applyBorder="1"/>
    <xf numFmtId="0" fontId="0" fillId="20" borderId="59" xfId="0" applyFont="1" applyFill="1" applyBorder="1"/>
    <xf numFmtId="0" fontId="17" fillId="20" borderId="58" xfId="0" applyFont="1" applyFill="1" applyBorder="1"/>
    <xf numFmtId="0" fontId="18" fillId="20" borderId="58" xfId="0" applyFont="1" applyFill="1" applyBorder="1"/>
    <xf numFmtId="0" fontId="0" fillId="20" borderId="60" xfId="0" applyFont="1" applyFill="1" applyBorder="1"/>
    <xf numFmtId="0" fontId="6" fillId="0" borderId="0" xfId="0" applyFont="1" applyFill="1" applyAlignment="1">
      <alignment horizontal="right"/>
    </xf>
    <xf numFmtId="0" fontId="2" fillId="0" borderId="0" xfId="0" applyFont="1" applyFill="1"/>
    <xf numFmtId="0" fontId="9" fillId="11" borderId="0" xfId="0" applyFont="1" applyFill="1"/>
    <xf numFmtId="0" fontId="0" fillId="2" borderId="37" xfId="0" applyFont="1" applyFill="1" applyBorder="1" applyAlignment="1">
      <alignment horizontal="center"/>
    </xf>
    <xf numFmtId="0" fontId="2" fillId="13" borderId="17" xfId="0" applyFont="1" applyFill="1" applyBorder="1" applyAlignment="1">
      <alignment horizontal="center" wrapText="1"/>
    </xf>
    <xf numFmtId="0" fontId="9" fillId="13" borderId="0" xfId="0" applyFont="1" applyFill="1"/>
    <xf numFmtId="0" fontId="18" fillId="16" borderId="54" xfId="0" applyFont="1" applyFill="1" applyBorder="1"/>
    <xf numFmtId="0" fontId="0" fillId="16" borderId="58" xfId="0" applyFont="1" applyFill="1" applyBorder="1"/>
    <xf numFmtId="0" fontId="2" fillId="2" borderId="14" xfId="0" applyFont="1" applyFill="1" applyBorder="1" applyAlignment="1">
      <alignment horizontal="center" wrapText="1"/>
    </xf>
    <xf numFmtId="0" fontId="0" fillId="0" borderId="0" xfId="0" applyNumberFormat="1" applyFont="1"/>
    <xf numFmtId="0" fontId="0" fillId="7" borderId="1" xfId="0" applyFont="1" applyFill="1" applyBorder="1" applyAlignment="1">
      <alignment horizontal="center"/>
    </xf>
    <xf numFmtId="0" fontId="0" fillId="2" borderId="35" xfId="0" applyFont="1" applyFill="1" applyBorder="1" applyAlignment="1">
      <alignment horizontal="left"/>
    </xf>
    <xf numFmtId="0" fontId="0" fillId="2" borderId="31" xfId="0" applyFont="1" applyFill="1" applyBorder="1" applyAlignment="1">
      <alignment horizontal="left"/>
    </xf>
    <xf numFmtId="0" fontId="0" fillId="2" borderId="67" xfId="0" quotePrefix="1" applyFont="1" applyFill="1" applyBorder="1" applyAlignment="1">
      <alignment horizontal="left"/>
    </xf>
    <xf numFmtId="0" fontId="0" fillId="2" borderId="34" xfId="0" quotePrefix="1" applyFont="1" applyFill="1" applyBorder="1" applyAlignment="1">
      <alignment horizontal="left"/>
    </xf>
    <xf numFmtId="0" fontId="2" fillId="0" borderId="55" xfId="0" applyFont="1" applyFill="1" applyBorder="1" applyAlignment="1">
      <alignment horizontal="center" wrapText="1"/>
    </xf>
    <xf numFmtId="0" fontId="0" fillId="0" borderId="59" xfId="0" applyFont="1" applyFill="1" applyBorder="1"/>
    <xf numFmtId="0" fontId="29" fillId="0" borderId="0" xfId="0" applyFont="1" applyFill="1"/>
    <xf numFmtId="0" fontId="26" fillId="0" borderId="0" xfId="0" applyFont="1" applyFill="1"/>
    <xf numFmtId="0" fontId="30" fillId="0" borderId="0" xfId="0" applyFont="1"/>
    <xf numFmtId="0" fontId="30" fillId="0" borderId="0" xfId="0" applyFont="1" applyAlignment="1">
      <alignment horizontal="right"/>
    </xf>
    <xf numFmtId="0" fontId="30" fillId="0" borderId="0" xfId="0" applyFont="1" applyAlignment="1">
      <alignment horizontal="center"/>
    </xf>
    <xf numFmtId="0" fontId="2" fillId="0" borderId="0" xfId="0" applyFont="1" applyFill="1" applyBorder="1" applyAlignment="1">
      <alignment horizontal="center" wrapText="1"/>
    </xf>
    <xf numFmtId="9" fontId="0" fillId="3" borderId="6" xfId="0" applyNumberFormat="1" applyFill="1" applyBorder="1" applyAlignment="1">
      <alignment horizontal="center"/>
    </xf>
    <xf numFmtId="0" fontId="14" fillId="0" borderId="0" xfId="0" applyFont="1" applyFill="1" applyBorder="1" applyAlignment="1">
      <alignment vertical="center" wrapText="1"/>
    </xf>
    <xf numFmtId="0" fontId="2" fillId="0" borderId="60" xfId="0" applyFont="1" applyFill="1" applyBorder="1" applyAlignment="1">
      <alignment wrapText="1"/>
    </xf>
    <xf numFmtId="0" fontId="30" fillId="0" borderId="0" xfId="0" applyFont="1" applyFill="1" applyAlignment="1">
      <alignment horizontal="center" vertical="top"/>
    </xf>
    <xf numFmtId="9" fontId="20" fillId="0" borderId="118" xfId="0" applyNumberFormat="1" applyFont="1" applyFill="1" applyBorder="1" applyAlignment="1">
      <alignment horizontal="right"/>
    </xf>
    <xf numFmtId="0" fontId="30" fillId="0" borderId="0" xfId="0" applyFont="1" applyAlignment="1">
      <alignment horizontal="left"/>
    </xf>
    <xf numFmtId="168" fontId="10" fillId="0" borderId="58" xfId="1" applyFont="1" applyFill="1" applyBorder="1"/>
    <xf numFmtId="2" fontId="10" fillId="0" borderId="58" xfId="0" applyNumberFormat="1" applyFont="1" applyFill="1" applyBorder="1"/>
    <xf numFmtId="171" fontId="10" fillId="0" borderId="58" xfId="1" applyNumberFormat="1" applyFont="1" applyFill="1" applyBorder="1" applyAlignment="1">
      <alignment horizontal="center"/>
    </xf>
    <xf numFmtId="0" fontId="2" fillId="0" borderId="29" xfId="0" applyFont="1" applyFill="1" applyBorder="1" applyAlignment="1">
      <alignment horizontal="center" wrapText="1"/>
    </xf>
    <xf numFmtId="0" fontId="2" fillId="0" borderId="119" xfId="0" applyFont="1" applyFill="1" applyBorder="1" applyAlignment="1">
      <alignment horizontal="center" wrapText="1"/>
    </xf>
    <xf numFmtId="0" fontId="2" fillId="0" borderId="120" xfId="0" applyFont="1" applyFill="1" applyBorder="1" applyAlignment="1">
      <alignment horizontal="center" wrapText="1"/>
    </xf>
    <xf numFmtId="0" fontId="33" fillId="2" borderId="3" xfId="0" applyFont="1" applyFill="1" applyBorder="1" applyAlignment="1">
      <alignment horizontal="center" vertical="center"/>
    </xf>
    <xf numFmtId="0" fontId="2" fillId="0" borderId="121" xfId="0" applyFont="1" applyFill="1" applyBorder="1" applyAlignment="1">
      <alignment horizontal="center" wrapText="1"/>
    </xf>
    <xf numFmtId="0" fontId="20" fillId="0" borderId="0" xfId="0" applyFont="1" applyFill="1" applyAlignment="1">
      <alignment horizontal="center" wrapText="1"/>
    </xf>
    <xf numFmtId="0" fontId="18" fillId="0" borderId="29" xfId="0" applyFont="1" applyFill="1" applyBorder="1"/>
    <xf numFmtId="0" fontId="17" fillId="0" borderId="29" xfId="0" applyFont="1" applyFill="1" applyBorder="1"/>
    <xf numFmtId="0" fontId="11" fillId="0" borderId="59" xfId="0" applyFont="1" applyBorder="1" applyAlignment="1">
      <alignment horizontal="center"/>
    </xf>
    <xf numFmtId="0" fontId="0" fillId="5" borderId="58" xfId="0" applyFont="1" applyFill="1" applyBorder="1" applyAlignment="1"/>
    <xf numFmtId="0" fontId="11" fillId="2" borderId="3" xfId="0" applyFont="1" applyFill="1" applyBorder="1" applyAlignment="1">
      <alignment horizontal="center" vertical="center"/>
    </xf>
    <xf numFmtId="0" fontId="0" fillId="0" borderId="121" xfId="0" applyFont="1" applyBorder="1"/>
    <xf numFmtId="166" fontId="0" fillId="13" borderId="10" xfId="0" applyNumberFormat="1" applyFont="1" applyFill="1" applyBorder="1"/>
    <xf numFmtId="0" fontId="2" fillId="0" borderId="0" xfId="0" applyFont="1" applyFill="1" applyBorder="1" applyAlignment="1">
      <alignment horizontal="center" wrapText="1"/>
    </xf>
    <xf numFmtId="0" fontId="0" fillId="5" borderId="35" xfId="0" applyFont="1" applyFill="1" applyBorder="1" applyAlignment="1"/>
    <xf numFmtId="0" fontId="19" fillId="0" borderId="0" xfId="0" applyFont="1" applyFill="1" applyBorder="1" applyAlignment="1">
      <alignment horizontal="right"/>
    </xf>
    <xf numFmtId="15" fontId="19" fillId="0" borderId="0" xfId="0" applyNumberFormat="1" applyFont="1" applyFill="1" applyBorder="1"/>
    <xf numFmtId="0" fontId="28" fillId="0" borderId="0" xfId="0" applyFont="1" applyFill="1" applyBorder="1" applyAlignment="1"/>
    <xf numFmtId="0" fontId="2" fillId="0" borderId="55" xfId="0" applyFont="1" applyFill="1" applyBorder="1" applyAlignment="1">
      <alignment horizontal="center"/>
    </xf>
    <xf numFmtId="0" fontId="2" fillId="0" borderId="5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5" borderId="31" xfId="0" applyFont="1" applyFill="1" applyBorder="1" applyAlignment="1"/>
    <xf numFmtId="0" fontId="0" fillId="5" borderId="57" xfId="0" applyFont="1" applyFill="1" applyBorder="1" applyAlignment="1"/>
    <xf numFmtId="0" fontId="14" fillId="0" borderId="0" xfId="0" applyFont="1" applyFill="1" applyBorder="1"/>
    <xf numFmtId="0" fontId="8" fillId="0" borderId="0" xfId="0" applyFont="1" applyFill="1" applyBorder="1"/>
    <xf numFmtId="0" fontId="0" fillId="5" borderId="61" xfId="0" applyFont="1" applyFill="1" applyBorder="1" applyAlignment="1"/>
    <xf numFmtId="0" fontId="0" fillId="5" borderId="56" xfId="0" applyFont="1" applyFill="1" applyBorder="1" applyAlignment="1"/>
    <xf numFmtId="0" fontId="0" fillId="17" borderId="62" xfId="0" applyFont="1" applyFill="1" applyBorder="1" applyAlignment="1"/>
    <xf numFmtId="171" fontId="10" fillId="3" borderId="63" xfId="1" applyNumberFormat="1" applyFont="1" applyFill="1" applyBorder="1" applyAlignment="1">
      <alignment horizontal="center"/>
    </xf>
    <xf numFmtId="171" fontId="0" fillId="3" borderId="82" xfId="1" applyNumberFormat="1" applyFont="1" applyFill="1" applyBorder="1" applyAlignment="1">
      <alignment horizontal="center"/>
    </xf>
    <xf numFmtId="171" fontId="0" fillId="3" borderId="79" xfId="1" applyNumberFormat="1" applyFont="1" applyFill="1" applyBorder="1" applyAlignment="1">
      <alignment horizontal="center"/>
    </xf>
    <xf numFmtId="170" fontId="0" fillId="0" borderId="75" xfId="1" applyNumberFormat="1" applyFont="1" applyFill="1" applyBorder="1"/>
    <xf numFmtId="168" fontId="0" fillId="0" borderId="75" xfId="1" applyFont="1" applyFill="1" applyBorder="1"/>
    <xf numFmtId="0" fontId="26" fillId="19" borderId="92" xfId="0" applyFont="1" applyFill="1" applyBorder="1" applyAlignment="1">
      <alignment vertical="center"/>
    </xf>
    <xf numFmtId="0" fontId="0" fillId="5" borderId="62" xfId="0" applyFont="1" applyFill="1" applyBorder="1" applyAlignment="1"/>
    <xf numFmtId="0" fontId="26" fillId="23" borderId="92" xfId="0" applyFont="1" applyFill="1" applyBorder="1" applyAlignment="1">
      <alignment vertical="center"/>
    </xf>
    <xf numFmtId="0" fontId="2" fillId="5" borderId="19" xfId="0" applyFont="1" applyFill="1" applyBorder="1" applyAlignment="1"/>
    <xf numFmtId="0" fontId="11" fillId="0" borderId="0" xfId="0" applyFont="1" applyFill="1" applyBorder="1" applyAlignment="1">
      <alignment horizontal="right"/>
    </xf>
    <xf numFmtId="168" fontId="10" fillId="0" borderId="0" xfId="1" applyFont="1" applyFill="1" applyBorder="1"/>
    <xf numFmtId="0" fontId="2" fillId="2" borderId="44" xfId="0" applyFont="1" applyFill="1" applyBorder="1" applyAlignment="1">
      <alignment horizontal="center" vertical="center" wrapText="1"/>
    </xf>
    <xf numFmtId="170" fontId="2" fillId="2" borderId="68" xfId="0" applyNumberFormat="1" applyFont="1" applyFill="1" applyBorder="1"/>
    <xf numFmtId="0" fontId="0" fillId="13" borderId="7" xfId="0" applyFont="1" applyFill="1" applyBorder="1"/>
    <xf numFmtId="166" fontId="2" fillId="13" borderId="64" xfId="0" applyNumberFormat="1" applyFont="1" applyFill="1" applyBorder="1"/>
    <xf numFmtId="0" fontId="0" fillId="13" borderId="16" xfId="0" applyFont="1" applyFill="1" applyBorder="1" applyAlignment="1">
      <alignment horizontal="center"/>
    </xf>
    <xf numFmtId="0" fontId="0" fillId="13" borderId="17" xfId="0" applyFont="1" applyFill="1" applyBorder="1" applyAlignment="1">
      <alignment horizontal="center"/>
    </xf>
    <xf numFmtId="0" fontId="2" fillId="13" borderId="15" xfId="0" applyFont="1" applyFill="1" applyBorder="1" applyAlignment="1">
      <alignment horizontal="center" wrapText="1"/>
    </xf>
    <xf numFmtId="168" fontId="0" fillId="0" borderId="29" xfId="0" applyNumberFormat="1" applyFont="1" applyFill="1" applyBorder="1"/>
    <xf numFmtId="0" fontId="20" fillId="0" borderId="29" xfId="0" applyFont="1" applyFill="1" applyBorder="1" applyAlignment="1">
      <alignment horizontal="right"/>
    </xf>
    <xf numFmtId="0" fontId="2" fillId="2" borderId="74" xfId="0" applyFont="1" applyFill="1" applyBorder="1"/>
    <xf numFmtId="0" fontId="14" fillId="0" borderId="0" xfId="0" applyFont="1" applyFill="1" applyBorder="1" applyAlignment="1">
      <alignment horizontal="left"/>
    </xf>
    <xf numFmtId="0" fontId="2" fillId="2" borderId="52" xfId="0" applyFont="1" applyFill="1" applyBorder="1"/>
    <xf numFmtId="0" fontId="0" fillId="13" borderId="43" xfId="0" applyFont="1" applyFill="1" applyBorder="1"/>
    <xf numFmtId="0" fontId="2" fillId="13" borderId="26" xfId="0" quotePrefix="1" applyFont="1" applyFill="1" applyBorder="1"/>
    <xf numFmtId="0" fontId="2" fillId="0" borderId="29" xfId="0" quotePrefix="1" applyFont="1" applyFill="1" applyBorder="1"/>
    <xf numFmtId="0" fontId="2" fillId="2" borderId="74" xfId="0" quotePrefix="1" applyFont="1" applyFill="1" applyBorder="1"/>
    <xf numFmtId="171" fontId="10" fillId="3" borderId="8" xfId="1" applyNumberFormat="1" applyFont="1" applyFill="1" applyBorder="1" applyAlignment="1">
      <alignment horizontal="right"/>
    </xf>
    <xf numFmtId="171" fontId="7" fillId="3" borderId="8" xfId="1" applyNumberFormat="1" applyFont="1" applyFill="1" applyBorder="1" applyAlignment="1">
      <alignment horizontal="right"/>
    </xf>
    <xf numFmtId="171" fontId="0" fillId="3" borderId="8" xfId="1" applyNumberFormat="1" applyFont="1" applyFill="1" applyBorder="1" applyAlignment="1">
      <alignment horizontal="right"/>
    </xf>
    <xf numFmtId="171" fontId="0" fillId="3" borderId="33" xfId="1" applyNumberFormat="1" applyFont="1" applyFill="1" applyBorder="1" applyAlignment="1">
      <alignment horizontal="right"/>
    </xf>
    <xf numFmtId="171" fontId="0" fillId="7" borderId="8" xfId="1" applyNumberFormat="1" applyFont="1" applyFill="1" applyBorder="1" applyAlignment="1">
      <alignment horizontal="right"/>
    </xf>
    <xf numFmtId="171" fontId="10" fillId="3" borderId="23" xfId="0" applyNumberFormat="1" applyFont="1" applyFill="1" applyBorder="1" applyAlignment="1">
      <alignment horizontal="right"/>
    </xf>
    <xf numFmtId="171" fontId="7" fillId="3" borderId="23" xfId="0" applyNumberFormat="1" applyFont="1" applyFill="1" applyBorder="1" applyAlignment="1">
      <alignment horizontal="right"/>
    </xf>
    <xf numFmtId="171" fontId="7" fillId="3" borderId="35" xfId="0" applyNumberFormat="1" applyFont="1" applyFill="1" applyBorder="1" applyAlignment="1">
      <alignment horizontal="right"/>
    </xf>
    <xf numFmtId="171" fontId="0" fillId="7" borderId="1" xfId="0" applyNumberFormat="1" applyFont="1" applyFill="1" applyBorder="1" applyAlignment="1">
      <alignment horizontal="right"/>
    </xf>
    <xf numFmtId="166" fontId="0" fillId="2" borderId="1" xfId="1" applyNumberFormat="1" applyFont="1" applyFill="1" applyBorder="1" applyAlignment="1">
      <alignment horizontal="right"/>
    </xf>
    <xf numFmtId="166" fontId="0" fillId="13" borderId="1" xfId="1" applyNumberFormat="1" applyFont="1" applyFill="1" applyBorder="1" applyAlignment="1">
      <alignment horizontal="right"/>
    </xf>
    <xf numFmtId="166" fontId="0" fillId="2" borderId="7" xfId="1" applyNumberFormat="1" applyFont="1" applyFill="1" applyBorder="1" applyAlignment="1">
      <alignment horizontal="right"/>
    </xf>
    <xf numFmtId="166" fontId="0" fillId="13" borderId="8" xfId="1" applyNumberFormat="1" applyFont="1" applyFill="1" applyBorder="1" applyAlignment="1">
      <alignment horizontal="right"/>
    </xf>
    <xf numFmtId="0" fontId="10" fillId="3" borderId="39" xfId="0" applyFont="1" applyFill="1" applyBorder="1" applyAlignment="1">
      <alignment horizontal="left"/>
    </xf>
    <xf numFmtId="0" fontId="10" fillId="3" borderId="76" xfId="0" applyFont="1" applyFill="1" applyBorder="1" applyAlignment="1">
      <alignment horizontal="left"/>
    </xf>
    <xf numFmtId="0" fontId="10" fillId="0" borderId="75" xfId="0" applyFont="1" applyFill="1" applyBorder="1"/>
    <xf numFmtId="9" fontId="10" fillId="11" borderId="67" xfId="2" applyNumberFormat="1" applyFont="1" applyFill="1" applyBorder="1" applyAlignment="1">
      <alignment horizontal="center"/>
    </xf>
    <xf numFmtId="9" fontId="10" fillId="11" borderId="5" xfId="2" applyNumberFormat="1" applyFont="1" applyFill="1" applyBorder="1" applyAlignment="1">
      <alignment horizontal="center"/>
    </xf>
    <xf numFmtId="0" fontId="10" fillId="3" borderId="53" xfId="0" applyFont="1" applyFill="1" applyBorder="1" applyAlignment="1">
      <alignment horizontal="left"/>
    </xf>
    <xf numFmtId="9" fontId="10" fillId="11" borderId="13" xfId="2" applyNumberFormat="1" applyFont="1" applyFill="1" applyBorder="1" applyAlignment="1">
      <alignment horizontal="center"/>
    </xf>
    <xf numFmtId="0" fontId="10" fillId="3" borderId="43" xfId="0" applyFont="1" applyFill="1" applyBorder="1" applyAlignment="1">
      <alignment horizontal="left"/>
    </xf>
    <xf numFmtId="0" fontId="10" fillId="0" borderId="0" xfId="0" applyFont="1"/>
    <xf numFmtId="0" fontId="10" fillId="0" borderId="0" xfId="0" applyFont="1" applyFill="1"/>
    <xf numFmtId="2" fontId="10" fillId="0" borderId="0" xfId="0" applyNumberFormat="1" applyFont="1" applyFill="1" applyBorder="1"/>
    <xf numFmtId="2" fontId="10" fillId="0" borderId="29" xfId="0" applyNumberFormat="1" applyFont="1" applyFill="1" applyBorder="1"/>
    <xf numFmtId="0" fontId="35" fillId="9" borderId="3" xfId="0" applyFont="1" applyFill="1" applyBorder="1" applyAlignment="1">
      <alignment vertical="center"/>
    </xf>
    <xf numFmtId="0" fontId="35" fillId="0" borderId="55" xfId="0" applyFont="1" applyFill="1" applyBorder="1" applyAlignment="1">
      <alignment vertical="center"/>
    </xf>
    <xf numFmtId="0" fontId="10" fillId="0" borderId="0" xfId="0" applyFont="1" applyBorder="1"/>
    <xf numFmtId="0" fontId="10" fillId="0" borderId="0" xfId="0" applyFont="1" applyFill="1" applyBorder="1"/>
    <xf numFmtId="0" fontId="10" fillId="0" borderId="58" xfId="0" applyFont="1" applyBorder="1"/>
    <xf numFmtId="0" fontId="10" fillId="0" borderId="58" xfId="0" applyFont="1" applyFill="1" applyBorder="1"/>
    <xf numFmtId="173" fontId="10" fillId="3" borderId="67" xfId="2" applyNumberFormat="1" applyFont="1" applyFill="1" applyBorder="1" applyAlignment="1">
      <alignment horizontal="center"/>
    </xf>
    <xf numFmtId="0" fontId="10" fillId="3" borderId="40" xfId="0" applyFont="1" applyFill="1" applyBorder="1" applyAlignment="1">
      <alignment horizontal="left"/>
    </xf>
    <xf numFmtId="173" fontId="10" fillId="3" borderId="1" xfId="1" applyNumberFormat="1" applyFont="1" applyFill="1" applyBorder="1" applyAlignment="1">
      <alignment horizontal="center"/>
    </xf>
    <xf numFmtId="173" fontId="10" fillId="3" borderId="13" xfId="1" applyNumberFormat="1" applyFont="1" applyFill="1" applyBorder="1" applyAlignment="1">
      <alignment horizontal="center"/>
    </xf>
    <xf numFmtId="0" fontId="10" fillId="3" borderId="41" xfId="0" applyFont="1" applyFill="1" applyBorder="1" applyAlignment="1">
      <alignment horizontal="left"/>
    </xf>
    <xf numFmtId="168" fontId="10" fillId="0" borderId="0" xfId="0" applyNumberFormat="1" applyFont="1" applyFill="1" applyBorder="1"/>
    <xf numFmtId="0" fontId="8" fillId="2" borderId="45" xfId="0" applyFont="1" applyFill="1" applyBorder="1" applyAlignment="1">
      <alignment horizontal="center" wrapText="1"/>
    </xf>
    <xf numFmtId="0" fontId="8" fillId="2" borderId="73" xfId="0" applyFont="1" applyFill="1" applyBorder="1" applyAlignment="1">
      <alignment horizontal="center" wrapText="1"/>
    </xf>
    <xf numFmtId="0" fontId="8" fillId="13" borderId="73" xfId="0" applyFont="1" applyFill="1" applyBorder="1" applyAlignment="1">
      <alignment horizontal="center" wrapText="1"/>
    </xf>
    <xf numFmtId="0" fontId="35" fillId="0" borderId="29" xfId="0" applyFont="1" applyFill="1" applyBorder="1" applyAlignment="1">
      <alignment horizontal="center" wrapText="1"/>
    </xf>
    <xf numFmtId="0" fontId="35" fillId="0" borderId="0" xfId="0" applyFont="1" applyFill="1" applyBorder="1" applyAlignment="1">
      <alignment horizontal="center" wrapText="1"/>
    </xf>
    <xf numFmtId="0" fontId="35" fillId="0" borderId="58" xfId="0" applyFont="1" applyFill="1" applyBorder="1" applyAlignment="1">
      <alignment horizontal="center" wrapText="1"/>
    </xf>
    <xf numFmtId="166" fontId="10" fillId="2" borderId="4" xfId="0" applyNumberFormat="1" applyFont="1" applyFill="1" applyBorder="1" applyAlignment="1">
      <alignment horizontal="right"/>
    </xf>
    <xf numFmtId="166" fontId="10" fillId="2" borderId="5" xfId="0" applyNumberFormat="1" applyFont="1" applyFill="1" applyBorder="1" applyAlignment="1">
      <alignment horizontal="right"/>
    </xf>
    <xf numFmtId="166" fontId="10" fillId="2" borderId="7" xfId="0" applyNumberFormat="1" applyFont="1" applyFill="1" applyBorder="1" applyAlignment="1">
      <alignment horizontal="right"/>
    </xf>
    <xf numFmtId="166" fontId="10" fillId="2" borderId="1" xfId="0" applyNumberFormat="1" applyFont="1" applyFill="1" applyBorder="1" applyAlignment="1">
      <alignment horizontal="right"/>
    </xf>
    <xf numFmtId="166" fontId="10" fillId="2" borderId="23" xfId="0" applyNumberFormat="1" applyFont="1" applyFill="1" applyBorder="1" applyAlignment="1">
      <alignment horizontal="right"/>
    </xf>
    <xf numFmtId="166" fontId="10" fillId="2" borderId="9" xfId="0" applyNumberFormat="1" applyFont="1" applyFill="1" applyBorder="1" applyAlignment="1">
      <alignment horizontal="right"/>
    </xf>
    <xf numFmtId="166" fontId="10" fillId="2" borderId="10" xfId="0" applyNumberFormat="1" applyFont="1" applyFill="1" applyBorder="1" applyAlignment="1">
      <alignment horizontal="right"/>
    </xf>
    <xf numFmtId="166" fontId="10" fillId="2" borderId="24" xfId="0" applyNumberFormat="1" applyFont="1" applyFill="1" applyBorder="1" applyAlignment="1">
      <alignment horizontal="right"/>
    </xf>
    <xf numFmtId="166" fontId="8" fillId="13" borderId="47" xfId="1" applyNumberFormat="1" applyFont="1" applyFill="1" applyBorder="1"/>
    <xf numFmtId="166" fontId="8" fillId="13" borderId="48" xfId="1" applyNumberFormat="1" applyFont="1" applyFill="1" applyBorder="1"/>
    <xf numFmtId="166" fontId="8" fillId="13" borderId="66" xfId="1" applyNumberFormat="1" applyFont="1" applyFill="1" applyBorder="1"/>
    <xf numFmtId="166" fontId="10" fillId="2" borderId="4" xfId="1" applyNumberFormat="1" applyFont="1" applyFill="1" applyBorder="1" applyAlignment="1">
      <alignment horizontal="right"/>
    </xf>
    <xf numFmtId="166" fontId="8" fillId="13" borderId="111" xfId="1" applyNumberFormat="1" applyFont="1" applyFill="1" applyBorder="1"/>
    <xf numFmtId="166" fontId="8" fillId="13" borderId="140" xfId="1" applyNumberFormat="1" applyFont="1" applyFill="1" applyBorder="1"/>
    <xf numFmtId="0" fontId="8" fillId="2" borderId="46" xfId="0" applyFont="1" applyFill="1" applyBorder="1" applyAlignment="1">
      <alignment horizontal="center" wrapText="1"/>
    </xf>
    <xf numFmtId="0" fontId="8" fillId="13" borderId="45" xfId="0" applyFont="1" applyFill="1" applyBorder="1" applyAlignment="1">
      <alignment horizontal="center" wrapText="1"/>
    </xf>
    <xf numFmtId="175" fontId="17" fillId="4" borderId="49" xfId="0" applyNumberFormat="1" applyFont="1" applyFill="1" applyBorder="1" applyAlignment="1">
      <alignment horizontal="center"/>
    </xf>
    <xf numFmtId="175" fontId="17" fillId="4" borderId="67" xfId="0" applyNumberFormat="1" applyFont="1" applyFill="1" applyBorder="1"/>
    <xf numFmtId="175" fontId="17" fillId="4" borderId="13" xfId="0" applyNumberFormat="1" applyFont="1" applyFill="1" applyBorder="1"/>
    <xf numFmtId="175" fontId="10" fillId="3" borderId="13" xfId="0" applyNumberFormat="1" applyFont="1" applyFill="1" applyBorder="1"/>
    <xf numFmtId="175" fontId="10" fillId="11" borderId="22" xfId="0" applyNumberFormat="1" applyFont="1" applyFill="1" applyBorder="1"/>
    <xf numFmtId="175" fontId="21" fillId="10" borderId="130" xfId="0" applyNumberFormat="1" applyFont="1" applyFill="1" applyBorder="1"/>
    <xf numFmtId="175" fontId="17" fillId="4" borderId="40" xfId="0" applyNumberFormat="1" applyFont="1" applyFill="1" applyBorder="1" applyAlignment="1">
      <alignment horizontal="center"/>
    </xf>
    <xf numFmtId="175" fontId="17" fillId="4" borderId="25" xfId="0" applyNumberFormat="1" applyFont="1" applyFill="1" applyBorder="1"/>
    <xf numFmtId="175" fontId="17" fillId="4" borderId="1" xfId="0" applyNumberFormat="1" applyFont="1" applyFill="1" applyBorder="1"/>
    <xf numFmtId="175" fontId="10" fillId="3" borderId="1" xfId="0" applyNumberFormat="1" applyFont="1" applyFill="1" applyBorder="1"/>
    <xf numFmtId="175" fontId="10" fillId="11" borderId="23" xfId="0" applyNumberFormat="1" applyFont="1" applyFill="1" applyBorder="1"/>
    <xf numFmtId="175" fontId="21" fillId="10" borderId="131" xfId="0" applyNumberFormat="1" applyFont="1" applyFill="1" applyBorder="1"/>
    <xf numFmtId="175" fontId="10" fillId="3" borderId="40" xfId="0" applyNumberFormat="1" applyFont="1" applyFill="1" applyBorder="1" applyAlignment="1">
      <alignment horizontal="center"/>
    </xf>
    <xf numFmtId="175" fontId="10" fillId="3" borderId="25" xfId="0" applyNumberFormat="1" applyFont="1" applyFill="1" applyBorder="1"/>
    <xf numFmtId="175" fontId="10" fillId="3" borderId="41" xfId="0" applyNumberFormat="1" applyFont="1" applyFill="1" applyBorder="1" applyAlignment="1">
      <alignment horizontal="center"/>
    </xf>
    <xf numFmtId="175" fontId="10" fillId="3" borderId="26" xfId="0" applyNumberFormat="1" applyFont="1" applyFill="1" applyBorder="1"/>
    <xf numFmtId="175" fontId="10" fillId="3" borderId="10" xfId="0" applyNumberFormat="1" applyFont="1" applyFill="1" applyBorder="1"/>
    <xf numFmtId="175" fontId="10" fillId="11" borderId="24" xfId="0" applyNumberFormat="1" applyFont="1" applyFill="1" applyBorder="1"/>
    <xf numFmtId="175" fontId="21" fillId="10" borderId="132" xfId="0" applyNumberFormat="1" applyFont="1" applyFill="1" applyBorder="1"/>
    <xf numFmtId="0" fontId="8" fillId="2" borderId="50" xfId="0" applyFont="1" applyFill="1" applyBorder="1" applyAlignment="1">
      <alignment horizontal="center" wrapText="1"/>
    </xf>
    <xf numFmtId="166" fontId="0" fillId="3" borderId="1" xfId="1" applyNumberFormat="1" applyFont="1" applyFill="1" applyBorder="1"/>
    <xf numFmtId="166" fontId="0" fillId="11" borderId="1" xfId="1" applyNumberFormat="1" applyFont="1" applyFill="1" applyBorder="1"/>
    <xf numFmtId="166" fontId="10" fillId="3" borderId="10" xfId="1" applyNumberFormat="1" applyFont="1" applyFill="1" applyBorder="1"/>
    <xf numFmtId="166" fontId="10" fillId="11" borderId="10" xfId="1" applyNumberFormat="1" applyFont="1" applyFill="1" applyBorder="1"/>
    <xf numFmtId="166" fontId="2" fillId="2" borderId="48" xfId="1" applyNumberFormat="1" applyFont="1" applyFill="1" applyBorder="1"/>
    <xf numFmtId="0" fontId="31" fillId="0" borderId="0" xfId="0" applyFont="1" applyAlignment="1">
      <alignment vertical="center"/>
    </xf>
    <xf numFmtId="166" fontId="0" fillId="2" borderId="13" xfId="1" applyNumberFormat="1" applyFont="1" applyFill="1" applyBorder="1" applyAlignment="1">
      <alignment horizontal="right"/>
    </xf>
    <xf numFmtId="166" fontId="0" fillId="13" borderId="13" xfId="1" applyNumberFormat="1" applyFont="1" applyFill="1" applyBorder="1" applyAlignment="1">
      <alignment horizontal="right"/>
    </xf>
    <xf numFmtId="166" fontId="0" fillId="13" borderId="14" xfId="1" applyNumberFormat="1" applyFont="1" applyFill="1" applyBorder="1" applyAlignment="1">
      <alignment horizontal="right"/>
    </xf>
    <xf numFmtId="166" fontId="0" fillId="2" borderId="37" xfId="1" applyNumberFormat="1" applyFont="1" applyFill="1" applyBorder="1" applyAlignment="1">
      <alignment horizontal="right"/>
    </xf>
    <xf numFmtId="166" fontId="0" fillId="2" borderId="2" xfId="1" applyNumberFormat="1" applyFont="1" applyFill="1" applyBorder="1" applyAlignment="1">
      <alignment horizontal="right"/>
    </xf>
    <xf numFmtId="166" fontId="0" fillId="13" borderId="2" xfId="1" applyNumberFormat="1" applyFont="1" applyFill="1" applyBorder="1" applyAlignment="1">
      <alignment horizontal="right"/>
    </xf>
    <xf numFmtId="166" fontId="0" fillId="13" borderId="33" xfId="1" applyNumberFormat="1" applyFont="1" applyFill="1" applyBorder="1" applyAlignment="1">
      <alignment horizontal="right"/>
    </xf>
    <xf numFmtId="0" fontId="0" fillId="7" borderId="39" xfId="0" applyFont="1" applyFill="1" applyBorder="1" applyAlignment="1">
      <alignment horizontal="left"/>
    </xf>
    <xf numFmtId="0" fontId="0" fillId="7" borderId="40" xfId="0" applyFont="1" applyFill="1" applyBorder="1" applyAlignment="1">
      <alignment horizontal="left"/>
    </xf>
    <xf numFmtId="0" fontId="0" fillId="7" borderId="41" xfId="0" applyFont="1" applyFill="1" applyBorder="1" applyAlignment="1">
      <alignment horizontal="left"/>
    </xf>
    <xf numFmtId="0" fontId="2" fillId="0" borderId="55" xfId="0" applyFont="1" applyFill="1" applyBorder="1" applyAlignment="1">
      <alignment vertical="center"/>
    </xf>
    <xf numFmtId="171" fontId="17" fillId="4" borderId="45" xfId="0" applyNumberFormat="1" applyFont="1" applyFill="1" applyBorder="1" applyAlignment="1">
      <alignment vertical="center"/>
    </xf>
    <xf numFmtId="171" fontId="0" fillId="3" borderId="45" xfId="0" applyNumberFormat="1" applyFont="1" applyFill="1" applyBorder="1" applyAlignment="1">
      <alignment vertical="center"/>
    </xf>
    <xf numFmtId="171" fontId="0" fillId="3" borderId="73" xfId="0" applyNumberFormat="1" applyFont="1" applyFill="1" applyBorder="1" applyAlignment="1">
      <alignment vertical="center"/>
    </xf>
    <xf numFmtId="0" fontId="13" fillId="0" borderId="0" xfId="0" applyFont="1" applyFill="1" applyBorder="1" applyAlignment="1">
      <alignment horizontal="center"/>
    </xf>
    <xf numFmtId="168" fontId="19" fillId="0" borderId="0" xfId="1" applyFont="1" applyFill="1" applyBorder="1"/>
    <xf numFmtId="173" fontId="21" fillId="10" borderId="135" xfId="2" applyNumberFormat="1" applyFont="1" applyFill="1" applyBorder="1"/>
    <xf numFmtId="173" fontId="21" fillId="10" borderId="136" xfId="2" applyNumberFormat="1" applyFont="1" applyFill="1" applyBorder="1"/>
    <xf numFmtId="173" fontId="21" fillId="10" borderId="137" xfId="2" applyNumberFormat="1" applyFont="1" applyFill="1" applyBorder="1"/>
    <xf numFmtId="166" fontId="0" fillId="2" borderId="6" xfId="0" applyNumberFormat="1" applyFont="1" applyFill="1" applyBorder="1"/>
    <xf numFmtId="166" fontId="0" fillId="13" borderId="8" xfId="0" applyNumberFormat="1" applyFont="1" applyFill="1" applyBorder="1"/>
    <xf numFmtId="166" fontId="2" fillId="2" borderId="68" xfId="0" applyNumberFormat="1" applyFont="1" applyFill="1" applyBorder="1" applyAlignment="1">
      <alignment vertical="center"/>
    </xf>
    <xf numFmtId="166" fontId="0" fillId="3" borderId="82" xfId="1" applyNumberFormat="1" applyFont="1" applyFill="1" applyBorder="1"/>
    <xf numFmtId="166" fontId="0" fillId="3" borderId="77" xfId="1" applyNumberFormat="1" applyFont="1" applyFill="1" applyBorder="1"/>
    <xf numFmtId="166" fontId="0" fillId="3" borderId="77" xfId="0" applyNumberFormat="1" applyFont="1" applyFill="1" applyBorder="1"/>
    <xf numFmtId="166" fontId="0" fillId="7" borderId="79" xfId="0" applyNumberFormat="1" applyFill="1" applyBorder="1"/>
    <xf numFmtId="171" fontId="0" fillId="2" borderId="16" xfId="0" applyNumberFormat="1" applyFont="1" applyFill="1" applyBorder="1"/>
    <xf numFmtId="171" fontId="0" fillId="2" borderId="17" xfId="0" applyNumberFormat="1" applyFont="1" applyFill="1" applyBorder="1"/>
    <xf numFmtId="168" fontId="26" fillId="18" borderId="88" xfId="0" applyNumberFormat="1" applyFont="1" applyFill="1" applyBorder="1" applyAlignment="1">
      <alignment horizontal="right" vertical="center"/>
    </xf>
    <xf numFmtId="168" fontId="26" fillId="18" borderId="89" xfId="0" applyNumberFormat="1" applyFont="1" applyFill="1" applyBorder="1" applyAlignment="1">
      <alignment horizontal="right" vertical="center"/>
    </xf>
    <xf numFmtId="167" fontId="0" fillId="0" borderId="0" xfId="0" applyNumberFormat="1" applyFont="1"/>
    <xf numFmtId="168" fontId="0" fillId="2" borderId="10" xfId="0" applyNumberFormat="1" applyFont="1" applyFill="1" applyBorder="1" applyAlignment="1">
      <alignment horizontal="right"/>
    </xf>
    <xf numFmtId="168" fontId="0" fillId="2" borderId="11" xfId="0" applyNumberFormat="1" applyFont="1" applyFill="1" applyBorder="1" applyAlignment="1">
      <alignment horizontal="right"/>
    </xf>
    <xf numFmtId="168" fontId="0" fillId="2" borderId="5" xfId="0" applyNumberFormat="1" applyFont="1" applyFill="1" applyBorder="1" applyAlignment="1">
      <alignment horizontal="right"/>
    </xf>
    <xf numFmtId="168" fontId="0" fillId="2" borderId="6" xfId="0" applyNumberFormat="1" applyFont="1" applyFill="1" applyBorder="1" applyAlignment="1">
      <alignment horizontal="right"/>
    </xf>
    <xf numFmtId="168" fontId="0" fillId="2" borderId="1" xfId="0" applyNumberFormat="1" applyFont="1" applyFill="1" applyBorder="1" applyAlignment="1">
      <alignment horizontal="right"/>
    </xf>
    <xf numFmtId="168" fontId="0" fillId="2" borderId="8" xfId="0" applyNumberFormat="1" applyFont="1" applyFill="1" applyBorder="1" applyAlignment="1">
      <alignment horizontal="right"/>
    </xf>
    <xf numFmtId="168" fontId="2" fillId="13" borderId="78" xfId="0" applyNumberFormat="1" applyFont="1" applyFill="1" applyBorder="1" applyAlignment="1">
      <alignment horizontal="right"/>
    </xf>
    <xf numFmtId="168" fontId="2" fillId="13" borderId="45" xfId="0" applyNumberFormat="1" applyFont="1" applyFill="1" applyBorder="1" applyAlignment="1">
      <alignment horizontal="right"/>
    </xf>
    <xf numFmtId="168" fontId="0" fillId="2" borderId="2" xfId="0" applyNumberFormat="1" applyFont="1" applyFill="1" applyBorder="1" applyAlignment="1">
      <alignment horizontal="right"/>
    </xf>
    <xf numFmtId="168" fontId="0" fillId="0" borderId="29" xfId="0" applyNumberFormat="1" applyFont="1" applyFill="1" applyBorder="1" applyAlignment="1">
      <alignment horizontal="right"/>
    </xf>
    <xf numFmtId="168" fontId="0" fillId="0" borderId="0" xfId="0" applyNumberFormat="1" applyFont="1" applyFill="1" applyBorder="1" applyAlignment="1">
      <alignment horizontal="right"/>
    </xf>
    <xf numFmtId="168" fontId="0" fillId="3" borderId="10" xfId="0" applyNumberFormat="1" applyFont="1" applyFill="1" applyBorder="1" applyAlignment="1">
      <alignment horizontal="right"/>
    </xf>
    <xf numFmtId="168" fontId="0" fillId="3" borderId="11" xfId="0" applyNumberFormat="1" applyFont="1" applyFill="1" applyBorder="1" applyAlignment="1">
      <alignment horizontal="right"/>
    </xf>
    <xf numFmtId="168" fontId="26" fillId="18" borderId="138" xfId="0" applyNumberFormat="1" applyFont="1" applyFill="1" applyBorder="1" applyAlignment="1">
      <alignment horizontal="right" vertical="center"/>
    </xf>
    <xf numFmtId="0" fontId="0" fillId="13" borderId="44" xfId="0" applyFont="1" applyFill="1" applyBorder="1" applyAlignment="1">
      <alignment horizontal="center"/>
    </xf>
    <xf numFmtId="171" fontId="0" fillId="2" borderId="44" xfId="0" applyNumberFormat="1" applyFont="1" applyFill="1" applyBorder="1"/>
    <xf numFmtId="0" fontId="31" fillId="0" borderId="59" xfId="0" applyFont="1" applyFill="1" applyBorder="1" applyAlignment="1">
      <alignment horizontal="left" vertical="center"/>
    </xf>
    <xf numFmtId="166" fontId="0" fillId="13" borderId="9" xfId="0" applyNumberFormat="1" applyFont="1" applyFill="1" applyBorder="1"/>
    <xf numFmtId="166" fontId="0" fillId="13" borderId="11" xfId="0" applyNumberFormat="1" applyFont="1" applyFill="1" applyBorder="1"/>
    <xf numFmtId="166" fontId="0" fillId="2" borderId="1" xfId="0" applyNumberFormat="1" applyFont="1" applyFill="1" applyBorder="1"/>
    <xf numFmtId="166" fontId="0" fillId="2" borderId="4" xfId="0" applyNumberFormat="1" applyFont="1" applyFill="1" applyBorder="1"/>
    <xf numFmtId="166" fontId="0" fillId="2" borderId="5" xfId="0" applyNumberFormat="1" applyFont="1" applyFill="1" applyBorder="1"/>
    <xf numFmtId="166" fontId="0" fillId="2" borderId="7" xfId="0" applyNumberFormat="1" applyFont="1" applyFill="1" applyBorder="1"/>
    <xf numFmtId="166" fontId="0" fillId="2" borderId="8" xfId="0" applyNumberFormat="1" applyFont="1" applyFill="1" applyBorder="1"/>
    <xf numFmtId="166" fontId="0" fillId="2" borderId="9" xfId="0" applyNumberFormat="1" applyFont="1" applyFill="1" applyBorder="1"/>
    <xf numFmtId="166" fontId="0" fillId="2" borderId="10" xfId="0" applyNumberFormat="1" applyFont="1" applyFill="1" applyBorder="1"/>
    <xf numFmtId="166" fontId="0" fillId="2" borderId="39" xfId="0" applyNumberFormat="1" applyFont="1" applyFill="1" applyBorder="1"/>
    <xf numFmtId="166" fontId="0" fillId="2" borderId="40" xfId="0" applyNumberFormat="1" applyFont="1" applyFill="1" applyBorder="1"/>
    <xf numFmtId="166" fontId="0" fillId="2" borderId="41" xfId="0" applyNumberFormat="1" applyFont="1" applyFill="1" applyBorder="1"/>
    <xf numFmtId="173" fontId="0" fillId="3" borderId="4" xfId="0" applyNumberFormat="1" applyFont="1" applyFill="1" applyBorder="1" applyAlignment="1">
      <alignment horizontal="center"/>
    </xf>
    <xf numFmtId="173" fontId="0" fillId="3" borderId="6" xfId="0" applyNumberFormat="1" applyFont="1" applyFill="1" applyBorder="1" applyAlignment="1">
      <alignment horizontal="center"/>
    </xf>
    <xf numFmtId="173" fontId="0" fillId="3" borderId="7" xfId="0" applyNumberFormat="1" applyFont="1" applyFill="1" applyBorder="1" applyAlignment="1">
      <alignment horizontal="center"/>
    </xf>
    <xf numFmtId="173" fontId="0" fillId="3" borderId="8" xfId="0" applyNumberFormat="1" applyFont="1" applyFill="1" applyBorder="1" applyAlignment="1">
      <alignment horizontal="center"/>
    </xf>
    <xf numFmtId="173" fontId="0" fillId="3" borderId="9" xfId="0" applyNumberFormat="1" applyFont="1" applyFill="1" applyBorder="1" applyAlignment="1">
      <alignment horizontal="center"/>
    </xf>
    <xf numFmtId="173" fontId="0" fillId="3" borderId="11" xfId="0" applyNumberFormat="1" applyFont="1" applyFill="1" applyBorder="1" applyAlignment="1">
      <alignment horizontal="center"/>
    </xf>
    <xf numFmtId="173" fontId="0" fillId="0" borderId="0" xfId="0" applyNumberFormat="1" applyFont="1" applyAlignment="1">
      <alignment horizontal="center"/>
    </xf>
    <xf numFmtId="168" fontId="26" fillId="18" borderId="105" xfId="0" applyNumberFormat="1" applyFont="1" applyFill="1" applyBorder="1" applyAlignment="1">
      <alignment horizontal="right"/>
    </xf>
    <xf numFmtId="168" fontId="26" fillId="18" borderId="106" xfId="0" applyNumberFormat="1" applyFont="1" applyFill="1" applyBorder="1" applyAlignment="1">
      <alignment horizontal="right"/>
    </xf>
    <xf numFmtId="168" fontId="26" fillId="18" borderId="107" xfId="0" applyNumberFormat="1" applyFont="1" applyFill="1" applyBorder="1" applyAlignment="1">
      <alignment horizontal="right"/>
    </xf>
    <xf numFmtId="165" fontId="25" fillId="18" borderId="90" xfId="0" applyNumberFormat="1" applyFont="1" applyFill="1" applyBorder="1" applyAlignment="1">
      <alignment horizontal="center" vertical="center"/>
    </xf>
    <xf numFmtId="165" fontId="26" fillId="18" borderId="88" xfId="0" applyNumberFormat="1" applyFont="1" applyFill="1" applyBorder="1" applyAlignment="1">
      <alignment horizontal="center" vertical="center"/>
    </xf>
    <xf numFmtId="165" fontId="25" fillId="18" borderId="88" xfId="0" applyNumberFormat="1" applyFont="1" applyFill="1" applyBorder="1" applyAlignment="1">
      <alignment horizontal="center" vertical="center"/>
    </xf>
    <xf numFmtId="165" fontId="26" fillId="18" borderId="126" xfId="0" applyNumberFormat="1" applyFont="1" applyFill="1" applyBorder="1" applyAlignment="1">
      <alignment horizontal="center" vertical="center"/>
    </xf>
    <xf numFmtId="166" fontId="2" fillId="2" borderId="64" xfId="0" applyNumberFormat="1" applyFont="1" applyFill="1" applyBorder="1" applyAlignment="1">
      <alignment horizontal="right"/>
    </xf>
    <xf numFmtId="0" fontId="2" fillId="0" borderId="19" xfId="0" applyFont="1" applyFill="1" applyBorder="1" applyAlignment="1">
      <alignment horizontal="center" vertical="center" wrapText="1"/>
    </xf>
    <xf numFmtId="0" fontId="0" fillId="3" borderId="23" xfId="0" applyFont="1" applyFill="1" applyBorder="1" applyAlignment="1">
      <alignment horizontal="center"/>
    </xf>
    <xf numFmtId="0" fontId="34" fillId="0" borderId="0" xfId="0" applyFont="1" applyFill="1" applyBorder="1" applyAlignment="1">
      <alignment horizontal="center" vertical="center" wrapText="1"/>
    </xf>
    <xf numFmtId="0" fontId="34" fillId="0" borderId="0" xfId="0" applyFont="1" applyFill="1" applyBorder="1" applyAlignment="1">
      <alignment horizontal="center" wrapText="1"/>
    </xf>
    <xf numFmtId="0" fontId="2" fillId="0" borderId="75" xfId="0" applyFont="1" applyFill="1" applyBorder="1" applyAlignment="1">
      <alignment horizontal="center" vertical="center" wrapText="1"/>
    </xf>
    <xf numFmtId="0" fontId="0" fillId="0" borderId="75" xfId="0" applyFont="1" applyFill="1" applyBorder="1" applyAlignment="1">
      <alignment horizontal="center"/>
    </xf>
    <xf numFmtId="0" fontId="2" fillId="13" borderId="9" xfId="0" applyFont="1" applyFill="1" applyBorder="1" applyAlignment="1">
      <alignment horizontal="center" vertical="center" wrapText="1"/>
    </xf>
    <xf numFmtId="0" fontId="2" fillId="13" borderId="11" xfId="0" applyFont="1" applyFill="1" applyBorder="1" applyAlignment="1">
      <alignment horizontal="center" vertical="center" wrapText="1"/>
    </xf>
    <xf numFmtId="168" fontId="0" fillId="13" borderId="56" xfId="0" applyNumberFormat="1" applyFont="1" applyFill="1" applyBorder="1"/>
    <xf numFmtId="0" fontId="0" fillId="13" borderId="56" xfId="0" applyFont="1" applyFill="1" applyBorder="1"/>
    <xf numFmtId="0" fontId="34" fillId="0" borderId="0" xfId="0" applyFont="1" applyFill="1" applyBorder="1" applyAlignment="1">
      <alignment vertical="center" wrapText="1"/>
    </xf>
    <xf numFmtId="0" fontId="34" fillId="0" borderId="0" xfId="0" applyFont="1" applyFill="1" applyBorder="1" applyAlignment="1">
      <alignment wrapText="1"/>
    </xf>
    <xf numFmtId="0" fontId="0" fillId="5" borderId="58" xfId="0" applyFont="1" applyFill="1" applyBorder="1" applyAlignment="1">
      <alignment horizontal="center"/>
    </xf>
    <xf numFmtId="168" fontId="0" fillId="0" borderId="55" xfId="0" applyNumberFormat="1" applyFont="1" applyFill="1" applyBorder="1"/>
    <xf numFmtId="168" fontId="0" fillId="0" borderId="55" xfId="1" applyNumberFormat="1" applyFont="1" applyFill="1" applyBorder="1"/>
    <xf numFmtId="168" fontId="2" fillId="0" borderId="55" xfId="1" applyNumberFormat="1" applyFont="1" applyFill="1" applyBorder="1"/>
    <xf numFmtId="168" fontId="0" fillId="0" borderId="0" xfId="0" applyNumberFormat="1" applyFont="1" applyFill="1" applyBorder="1"/>
    <xf numFmtId="168" fontId="0" fillId="0" borderId="0" xfId="1" applyNumberFormat="1" applyFont="1" applyFill="1" applyBorder="1"/>
    <xf numFmtId="168" fontId="2" fillId="0" borderId="0" xfId="1" applyFont="1" applyFill="1" applyBorder="1"/>
    <xf numFmtId="168" fontId="2" fillId="0" borderId="0" xfId="1" applyNumberFormat="1" applyFont="1" applyFill="1" applyBorder="1"/>
    <xf numFmtId="0" fontId="4" fillId="0" borderId="0" xfId="0" applyFont="1" applyAlignment="1">
      <alignment vertical="top"/>
    </xf>
    <xf numFmtId="0" fontId="4" fillId="0" borderId="0" xfId="0" applyFont="1" applyAlignment="1">
      <alignment horizontal="left"/>
    </xf>
    <xf numFmtId="0" fontId="2" fillId="13" borderId="16" xfId="0" applyFont="1" applyFill="1" applyBorder="1" applyAlignment="1">
      <alignment horizontal="center" vertical="center" wrapText="1"/>
    </xf>
    <xf numFmtId="168" fontId="0" fillId="13" borderId="1" xfId="0" applyNumberFormat="1" applyFont="1" applyFill="1" applyBorder="1"/>
    <xf numFmtId="0" fontId="2" fillId="25" borderId="19" xfId="0" applyFont="1" applyFill="1" applyBorder="1" applyAlignment="1">
      <alignment horizontal="center" vertical="center" wrapText="1"/>
    </xf>
    <xf numFmtId="166" fontId="10" fillId="2" borderId="1" xfId="1" applyNumberFormat="1" applyFont="1" applyFill="1" applyBorder="1" applyAlignment="1">
      <alignment horizontal="right"/>
    </xf>
    <xf numFmtId="166" fontId="10" fillId="13" borderId="1" xfId="1" applyNumberFormat="1" applyFont="1" applyFill="1" applyBorder="1" applyAlignment="1">
      <alignment horizontal="right"/>
    </xf>
    <xf numFmtId="166" fontId="10" fillId="2" borderId="5" xfId="1" applyNumberFormat="1" applyFont="1" applyFill="1" applyBorder="1" applyAlignment="1">
      <alignment horizontal="right"/>
    </xf>
    <xf numFmtId="166" fontId="10" fillId="13" borderId="5" xfId="1" applyNumberFormat="1" applyFont="1" applyFill="1" applyBorder="1" applyAlignment="1">
      <alignment horizontal="right"/>
    </xf>
    <xf numFmtId="166" fontId="10" fillId="13" borderId="6" xfId="1" applyNumberFormat="1" applyFont="1" applyFill="1" applyBorder="1" applyAlignment="1">
      <alignment horizontal="right"/>
    </xf>
    <xf numFmtId="166" fontId="10" fillId="2" borderId="7" xfId="1" applyNumberFormat="1" applyFont="1" applyFill="1" applyBorder="1" applyAlignment="1">
      <alignment horizontal="right"/>
    </xf>
    <xf numFmtId="166" fontId="10" fillId="13" borderId="8" xfId="1" applyNumberFormat="1" applyFont="1" applyFill="1" applyBorder="1" applyAlignment="1">
      <alignment horizontal="right"/>
    </xf>
    <xf numFmtId="166" fontId="10" fillId="2" borderId="9" xfId="1" applyNumberFormat="1" applyFont="1" applyFill="1" applyBorder="1" applyAlignment="1">
      <alignment horizontal="right"/>
    </xf>
    <xf numFmtId="166" fontId="10" fillId="2" borderId="10" xfId="1" applyNumberFormat="1" applyFont="1" applyFill="1" applyBorder="1" applyAlignment="1">
      <alignment horizontal="right"/>
    </xf>
    <xf numFmtId="166" fontId="10" fillId="13" borderId="10" xfId="1" applyNumberFormat="1" applyFont="1" applyFill="1" applyBorder="1" applyAlignment="1">
      <alignment horizontal="right"/>
    </xf>
    <xf numFmtId="166" fontId="10" fillId="13" borderId="11" xfId="1" applyNumberFormat="1" applyFont="1" applyFill="1" applyBorder="1" applyAlignment="1">
      <alignment horizontal="right"/>
    </xf>
    <xf numFmtId="3" fontId="0" fillId="2" borderId="1" xfId="0" applyNumberFormat="1" applyFill="1" applyBorder="1" applyAlignment="1">
      <alignment horizontal="center"/>
    </xf>
    <xf numFmtId="0" fontId="0" fillId="0" borderId="0" xfId="0" applyFill="1" applyBorder="1" applyAlignment="1">
      <alignment horizontal="left"/>
    </xf>
    <xf numFmtId="9" fontId="0" fillId="0" borderId="0" xfId="0" applyNumberFormat="1" applyFill="1" applyBorder="1" applyAlignment="1">
      <alignment horizontal="center"/>
    </xf>
    <xf numFmtId="9" fontId="0" fillId="0" borderId="0" xfId="0" applyNumberFormat="1" applyFont="1" applyFill="1" applyBorder="1" applyAlignment="1">
      <alignment horizontal="center"/>
    </xf>
    <xf numFmtId="1" fontId="0" fillId="3" borderId="1" xfId="0" applyNumberFormat="1" applyFill="1" applyBorder="1" applyAlignment="1">
      <alignment horizontal="center"/>
    </xf>
    <xf numFmtId="1" fontId="0" fillId="3" borderId="1" xfId="0" applyNumberFormat="1" applyFont="1" applyFill="1" applyBorder="1" applyAlignment="1">
      <alignment horizontal="center"/>
    </xf>
    <xf numFmtId="0" fontId="0" fillId="3" borderId="1" xfId="0" applyFont="1" applyFill="1" applyBorder="1" applyAlignment="1">
      <alignment horizontal="center"/>
    </xf>
    <xf numFmtId="166" fontId="0" fillId="2" borderId="4" xfId="1" applyNumberFormat="1" applyFont="1" applyFill="1" applyBorder="1" applyAlignment="1">
      <alignment horizontal="right" vertical="center"/>
    </xf>
    <xf numFmtId="166" fontId="0" fillId="2" borderId="5" xfId="1" applyNumberFormat="1" applyFont="1" applyFill="1" applyBorder="1" applyAlignment="1">
      <alignment horizontal="right" vertical="center"/>
    </xf>
    <xf numFmtId="166" fontId="0" fillId="2" borderId="122" xfId="1" applyNumberFormat="1" applyFont="1" applyFill="1" applyBorder="1" applyAlignment="1">
      <alignment horizontal="right" vertical="center"/>
    </xf>
    <xf numFmtId="166" fontId="0" fillId="2" borderId="7" xfId="1" applyNumberFormat="1" applyFont="1" applyFill="1" applyBorder="1" applyAlignment="1">
      <alignment horizontal="right" vertical="center"/>
    </xf>
    <xf numFmtId="166" fontId="0" fillId="2" borderId="1" xfId="1" applyNumberFormat="1" applyFont="1" applyFill="1" applyBorder="1" applyAlignment="1">
      <alignment horizontal="right" vertical="center"/>
    </xf>
    <xf numFmtId="166" fontId="0" fillId="2" borderId="123" xfId="1" applyNumberFormat="1" applyFont="1" applyFill="1" applyBorder="1" applyAlignment="1">
      <alignment horizontal="right" vertical="center"/>
    </xf>
    <xf numFmtId="166" fontId="0" fillId="2" borderId="9" xfId="1" applyNumberFormat="1" applyFont="1" applyFill="1" applyBorder="1" applyAlignment="1">
      <alignment horizontal="right" vertical="center"/>
    </xf>
    <xf numFmtId="166" fontId="0" fillId="2" borderId="10" xfId="1" applyNumberFormat="1" applyFont="1" applyFill="1" applyBorder="1" applyAlignment="1">
      <alignment horizontal="right" vertical="center"/>
    </xf>
    <xf numFmtId="166" fontId="0" fillId="2" borderId="124" xfId="1" applyNumberFormat="1" applyFont="1" applyFill="1" applyBorder="1" applyAlignment="1">
      <alignment horizontal="right" vertical="center"/>
    </xf>
    <xf numFmtId="166" fontId="2" fillId="2" borderId="64" xfId="1" applyNumberFormat="1" applyFont="1" applyFill="1" applyBorder="1" applyAlignment="1">
      <alignment horizontal="right"/>
    </xf>
    <xf numFmtId="166" fontId="2" fillId="2" borderId="65" xfId="1" applyNumberFormat="1" applyFont="1" applyFill="1" applyBorder="1" applyAlignment="1">
      <alignment horizontal="right"/>
    </xf>
    <xf numFmtId="166" fontId="2" fillId="2" borderId="66" xfId="1" applyNumberFormat="1" applyFont="1" applyFill="1" applyBorder="1" applyAlignment="1">
      <alignment horizontal="right"/>
    </xf>
    <xf numFmtId="171" fontId="0" fillId="3" borderId="74" xfId="1" applyNumberFormat="1" applyFont="1" applyFill="1" applyBorder="1" applyAlignment="1">
      <alignment horizontal="right"/>
    </xf>
    <xf numFmtId="171" fontId="0" fillId="3" borderId="5" xfId="1" applyNumberFormat="1" applyFont="1" applyFill="1" applyBorder="1" applyAlignment="1">
      <alignment horizontal="right"/>
    </xf>
    <xf numFmtId="171" fontId="0" fillId="3" borderId="36" xfId="1" applyNumberFormat="1" applyFont="1" applyFill="1" applyBorder="1" applyAlignment="1">
      <alignment horizontal="right"/>
    </xf>
    <xf numFmtId="171" fontId="0" fillId="3" borderId="25" xfId="1" applyNumberFormat="1" applyFont="1" applyFill="1" applyBorder="1" applyAlignment="1">
      <alignment horizontal="right"/>
    </xf>
    <xf numFmtId="171" fontId="0" fillId="3" borderId="1" xfId="1" applyNumberFormat="1" applyFont="1" applyFill="1" applyBorder="1" applyAlignment="1">
      <alignment horizontal="right"/>
    </xf>
    <xf numFmtId="171" fontId="0" fillId="3" borderId="23" xfId="1" applyNumberFormat="1" applyFont="1" applyFill="1" applyBorder="1" applyAlignment="1">
      <alignment horizontal="right"/>
    </xf>
    <xf numFmtId="171" fontId="0" fillId="3" borderId="34" xfId="1" applyNumberFormat="1" applyFont="1" applyFill="1" applyBorder="1" applyAlignment="1">
      <alignment horizontal="right"/>
    </xf>
    <xf numFmtId="171" fontId="0" fillId="3" borderId="2" xfId="1" applyNumberFormat="1" applyFont="1" applyFill="1" applyBorder="1" applyAlignment="1">
      <alignment horizontal="right"/>
    </xf>
    <xf numFmtId="171" fontId="0" fillId="3" borderId="35" xfId="1" applyNumberFormat="1" applyFont="1" applyFill="1" applyBorder="1" applyAlignment="1">
      <alignment horizontal="right"/>
    </xf>
    <xf numFmtId="166" fontId="0" fillId="2" borderId="69" xfId="1" applyNumberFormat="1" applyFont="1" applyFill="1" applyBorder="1"/>
    <xf numFmtId="166" fontId="0" fillId="2" borderId="65" xfId="1" applyNumberFormat="1" applyFont="1" applyFill="1" applyBorder="1"/>
    <xf numFmtId="166" fontId="0" fillId="2" borderId="66" xfId="1" applyNumberFormat="1" applyFont="1" applyFill="1" applyBorder="1"/>
    <xf numFmtId="0" fontId="25" fillId="0" borderId="0" xfId="0" applyFont="1" applyFill="1" applyBorder="1" applyAlignment="1">
      <alignment horizontal="center"/>
    </xf>
    <xf numFmtId="0" fontId="25" fillId="0" borderId="0" xfId="0" applyFont="1" applyFill="1" applyBorder="1" applyAlignment="1">
      <alignment vertical="center" wrapText="1"/>
    </xf>
    <xf numFmtId="0" fontId="2" fillId="0" borderId="0" xfId="0" applyFont="1" applyFill="1" applyBorder="1" applyAlignment="1">
      <alignment wrapText="1"/>
    </xf>
    <xf numFmtId="0" fontId="0" fillId="3" borderId="4" xfId="0" applyFont="1" applyFill="1" applyBorder="1" applyAlignment="1">
      <alignment horizontal="center"/>
    </xf>
    <xf numFmtId="0" fontId="0" fillId="3" borderId="7" xfId="0" applyFont="1" applyFill="1" applyBorder="1" applyAlignment="1">
      <alignment horizontal="center"/>
    </xf>
    <xf numFmtId="0" fontId="0" fillId="3" borderId="9" xfId="0" applyFont="1" applyFill="1" applyBorder="1" applyAlignment="1">
      <alignment horizontal="center"/>
    </xf>
    <xf numFmtId="0" fontId="2" fillId="2" borderId="18" xfId="0" applyFont="1" applyFill="1" applyBorder="1" applyAlignment="1">
      <alignment horizontal="center" vertical="center" wrapText="1"/>
    </xf>
    <xf numFmtId="0" fontId="2" fillId="2" borderId="76" xfId="0" applyFont="1" applyFill="1" applyBorder="1"/>
    <xf numFmtId="0" fontId="0" fillId="2" borderId="53" xfId="0" applyFont="1" applyFill="1" applyBorder="1"/>
    <xf numFmtId="0" fontId="2" fillId="2" borderId="53" xfId="0" applyFont="1" applyFill="1" applyBorder="1"/>
    <xf numFmtId="0" fontId="0" fillId="5" borderId="27" xfId="0" applyFont="1" applyFill="1" applyBorder="1"/>
    <xf numFmtId="0" fontId="0" fillId="2" borderId="25" xfId="0" applyFont="1" applyFill="1" applyBorder="1" applyAlignment="1">
      <alignment horizontal="center"/>
    </xf>
    <xf numFmtId="0" fontId="2" fillId="5" borderId="35" xfId="0" applyFont="1" applyFill="1" applyBorder="1"/>
    <xf numFmtId="0" fontId="2" fillId="5" borderId="73" xfId="0" applyFont="1" applyFill="1" applyBorder="1"/>
    <xf numFmtId="0" fontId="37" fillId="0" borderId="0" xfId="0" applyFont="1"/>
    <xf numFmtId="0" fontId="38" fillId="0" borderId="0" xfId="0" applyFont="1"/>
    <xf numFmtId="0" fontId="23" fillId="0" borderId="144" xfId="0" applyFont="1" applyFill="1" applyBorder="1" applyAlignment="1">
      <alignment vertical="center" wrapText="1"/>
    </xf>
    <xf numFmtId="0" fontId="23" fillId="0" borderId="0" xfId="0" applyFont="1" applyFill="1" applyBorder="1" applyAlignment="1">
      <alignment vertical="center" wrapText="1"/>
    </xf>
    <xf numFmtId="0" fontId="21" fillId="0" borderId="145" xfId="0" applyFont="1" applyFill="1" applyBorder="1" applyAlignment="1">
      <alignment vertical="top" wrapText="1"/>
    </xf>
    <xf numFmtId="168" fontId="22" fillId="10" borderId="146" xfId="0" applyNumberFormat="1" applyFont="1" applyFill="1" applyBorder="1"/>
    <xf numFmtId="166" fontId="0" fillId="0" borderId="144" xfId="0" applyNumberFormat="1" applyFont="1" applyFill="1" applyBorder="1"/>
    <xf numFmtId="0" fontId="23" fillId="0" borderId="127" xfId="0" applyFont="1" applyFill="1" applyBorder="1" applyAlignment="1">
      <alignment vertical="center" wrapText="1"/>
    </xf>
    <xf numFmtId="0" fontId="0" fillId="0" borderId="0" xfId="0" applyFill="1" applyBorder="1" applyAlignment="1">
      <alignment horizontal="center"/>
    </xf>
    <xf numFmtId="0" fontId="0" fillId="0" borderId="58" xfId="0" applyFont="1" applyFill="1" applyBorder="1"/>
    <xf numFmtId="0" fontId="0" fillId="0" borderId="144" xfId="0" applyFont="1" applyBorder="1"/>
    <xf numFmtId="166" fontId="0" fillId="13" borderId="149" xfId="0" applyNumberFormat="1" applyFont="1" applyFill="1" applyBorder="1"/>
    <xf numFmtId="166" fontId="0" fillId="13" borderId="150" xfId="0" applyNumberFormat="1" applyFont="1" applyFill="1" applyBorder="1"/>
    <xf numFmtId="166" fontId="0" fillId="13" borderId="156" xfId="0" applyNumberFormat="1" applyFill="1" applyBorder="1"/>
    <xf numFmtId="0" fontId="11" fillId="0" borderId="30" xfId="0" applyFont="1" applyFill="1" applyBorder="1" applyAlignment="1">
      <alignment horizontal="right"/>
    </xf>
    <xf numFmtId="165" fontId="26" fillId="18" borderId="157" xfId="0" applyNumberFormat="1" applyFont="1" applyFill="1" applyBorder="1" applyAlignment="1">
      <alignment horizontal="center" vertical="center"/>
    </xf>
    <xf numFmtId="166" fontId="2" fillId="13" borderId="64" xfId="0" applyNumberFormat="1" applyFont="1" applyFill="1" applyBorder="1" applyAlignment="1">
      <alignment horizontal="right"/>
    </xf>
    <xf numFmtId="166" fontId="2" fillId="2" borderId="69" xfId="0" applyNumberFormat="1" applyFont="1" applyFill="1" applyBorder="1"/>
    <xf numFmtId="166" fontId="2" fillId="2" borderId="141" xfId="0" applyNumberFormat="1" applyFont="1" applyFill="1" applyBorder="1"/>
    <xf numFmtId="0" fontId="25" fillId="14" borderId="41" xfId="0" applyFont="1" applyFill="1" applyBorder="1"/>
    <xf numFmtId="0" fontId="25" fillId="14" borderId="49" xfId="0" applyFont="1" applyFill="1" applyBorder="1"/>
    <xf numFmtId="0" fontId="2" fillId="0" borderId="144" xfId="0" applyFont="1" applyFill="1" applyBorder="1" applyAlignment="1">
      <alignment wrapText="1"/>
    </xf>
    <xf numFmtId="1" fontId="0" fillId="3" borderId="8" xfId="0" applyNumberFormat="1" applyFont="1" applyFill="1" applyBorder="1" applyAlignment="1">
      <alignment horizontal="center"/>
    </xf>
    <xf numFmtId="3" fontId="0" fillId="2" borderId="8" xfId="0" applyNumberFormat="1" applyFill="1" applyBorder="1" applyAlignment="1">
      <alignment horizontal="center"/>
    </xf>
    <xf numFmtId="9" fontId="0" fillId="3" borderId="10" xfId="0" applyNumberFormat="1" applyFill="1" applyBorder="1" applyAlignment="1">
      <alignment horizontal="center"/>
    </xf>
    <xf numFmtId="9" fontId="0" fillId="3" borderId="10" xfId="0" applyNumberFormat="1" applyFont="1" applyFill="1" applyBorder="1" applyAlignment="1">
      <alignment horizontal="center"/>
    </xf>
    <xf numFmtId="9" fontId="0" fillId="3" borderId="11" xfId="0" applyNumberFormat="1" applyFont="1" applyFill="1" applyBorder="1" applyAlignment="1">
      <alignment horizontal="center"/>
    </xf>
    <xf numFmtId="171" fontId="0" fillId="2" borderId="16" xfId="0" applyNumberFormat="1" applyFont="1" applyFill="1" applyBorder="1" applyAlignment="1">
      <alignment horizontal="center"/>
    </xf>
    <xf numFmtId="171" fontId="0" fillId="2" borderId="17" xfId="0" applyNumberFormat="1" applyFont="1" applyFill="1" applyBorder="1" applyAlignment="1">
      <alignment horizontal="center"/>
    </xf>
    <xf numFmtId="3" fontId="2" fillId="2" borderId="3" xfId="0" applyNumberFormat="1" applyFont="1" applyFill="1" applyBorder="1"/>
    <xf numFmtId="0" fontId="11" fillId="0" borderId="0" xfId="0" applyFont="1" applyFill="1" applyBorder="1" applyAlignment="1"/>
    <xf numFmtId="0" fontId="39" fillId="0" borderId="0" xfId="0" applyFont="1"/>
    <xf numFmtId="0" fontId="40" fillId="0" borderId="0" xfId="0" applyFont="1"/>
    <xf numFmtId="171" fontId="10" fillId="0" borderId="29" xfId="2" applyNumberFormat="1" applyFont="1" applyFill="1" applyBorder="1"/>
    <xf numFmtId="171" fontId="10" fillId="0" borderId="0" xfId="2" applyNumberFormat="1" applyFont="1" applyFill="1" applyBorder="1"/>
    <xf numFmtId="171" fontId="10" fillId="0" borderId="58" xfId="2" applyNumberFormat="1" applyFont="1" applyFill="1" applyBorder="1"/>
    <xf numFmtId="173" fontId="10" fillId="3" borderId="25" xfId="1" applyNumberFormat="1" applyFont="1" applyFill="1" applyBorder="1" applyAlignment="1">
      <alignment horizontal="center"/>
    </xf>
    <xf numFmtId="173" fontId="10" fillId="3" borderId="67" xfId="1" applyNumberFormat="1" applyFont="1" applyFill="1" applyBorder="1" applyAlignment="1">
      <alignment horizontal="center"/>
    </xf>
    <xf numFmtId="166" fontId="10" fillId="2" borderId="49" xfId="1" applyNumberFormat="1" applyFont="1" applyFill="1" applyBorder="1"/>
    <xf numFmtId="166" fontId="10" fillId="2" borderId="41" xfId="1" applyNumberFormat="1" applyFont="1" applyFill="1" applyBorder="1"/>
    <xf numFmtId="166" fontId="10" fillId="2" borderId="50" xfId="1" applyNumberFormat="1" applyFont="1" applyFill="1" applyBorder="1"/>
    <xf numFmtId="0" fontId="2" fillId="0" borderId="29" xfId="0" applyFont="1" applyFill="1" applyBorder="1" applyAlignment="1">
      <alignment vertical="center" wrapText="1"/>
    </xf>
    <xf numFmtId="0" fontId="2" fillId="0" borderId="0" xfId="0" applyFont="1" applyFill="1" applyBorder="1" applyAlignment="1">
      <alignment vertical="center" wrapText="1"/>
    </xf>
    <xf numFmtId="3" fontId="2" fillId="2" borderId="164" xfId="0" applyNumberFormat="1" applyFont="1" applyFill="1" applyBorder="1"/>
    <xf numFmtId="0" fontId="0" fillId="0" borderId="54" xfId="0" applyFill="1" applyBorder="1" applyAlignment="1"/>
    <xf numFmtId="0" fontId="0" fillId="3" borderId="13" xfId="0" applyFont="1" applyFill="1" applyBorder="1" applyAlignment="1">
      <alignment horizontal="center"/>
    </xf>
    <xf numFmtId="0" fontId="0" fillId="3" borderId="14" xfId="0" applyFont="1" applyFill="1" applyBorder="1" applyAlignment="1">
      <alignment horizontal="center"/>
    </xf>
    <xf numFmtId="0" fontId="0" fillId="0" borderId="58" xfId="0" applyBorder="1"/>
    <xf numFmtId="0" fontId="41" fillId="0" borderId="0" xfId="0" applyFont="1" applyFill="1" applyBorder="1" applyAlignment="1">
      <alignment horizontal="center"/>
    </xf>
    <xf numFmtId="0" fontId="42" fillId="0" borderId="0" xfId="0" applyFont="1"/>
    <xf numFmtId="0" fontId="0" fillId="0" borderId="0" xfId="0" applyAlignment="1">
      <alignment horizontal="center"/>
    </xf>
    <xf numFmtId="0" fontId="9" fillId="0" borderId="0" xfId="0" applyFont="1" applyBorder="1"/>
    <xf numFmtId="9" fontId="0" fillId="3" borderId="11" xfId="0" applyNumberFormat="1" applyFill="1" applyBorder="1" applyAlignment="1">
      <alignment horizontal="center"/>
    </xf>
    <xf numFmtId="0" fontId="0" fillId="5" borderId="73" xfId="0" applyFont="1" applyFill="1" applyBorder="1" applyAlignment="1"/>
    <xf numFmtId="0" fontId="0" fillId="5" borderId="60" xfId="0" applyFont="1" applyFill="1" applyBorder="1" applyAlignment="1"/>
    <xf numFmtId="171" fontId="12" fillId="0" borderId="0" xfId="0" applyNumberFormat="1" applyFont="1" applyFill="1" applyBorder="1" applyAlignment="1">
      <alignment horizontal="center" wrapText="1"/>
    </xf>
    <xf numFmtId="171" fontId="12" fillId="0" borderId="58" xfId="0" applyNumberFormat="1" applyFont="1" applyFill="1" applyBorder="1" applyAlignment="1">
      <alignment horizontal="center" wrapText="1"/>
    </xf>
    <xf numFmtId="0" fontId="14" fillId="24" borderId="3" xfId="0" applyFont="1" applyFill="1" applyBorder="1" applyAlignment="1">
      <alignment horizontal="center"/>
    </xf>
    <xf numFmtId="0" fontId="0" fillId="3" borderId="4" xfId="0" applyFont="1" applyFill="1" applyBorder="1"/>
    <xf numFmtId="0" fontId="0" fillId="3" borderId="7" xfId="0" applyFont="1" applyFill="1" applyBorder="1"/>
    <xf numFmtId="0" fontId="0" fillId="3" borderId="9" xfId="0" applyFont="1" applyFill="1" applyBorder="1"/>
    <xf numFmtId="0" fontId="2" fillId="2" borderId="15" xfId="0" applyFont="1" applyFill="1" applyBorder="1"/>
    <xf numFmtId="0" fontId="2" fillId="0" borderId="75" xfId="0" applyFont="1" applyFill="1" applyBorder="1" applyAlignment="1">
      <alignment horizontal="center" wrapText="1"/>
    </xf>
    <xf numFmtId="0" fontId="11" fillId="0" borderId="0" xfId="0" applyFont="1" applyBorder="1" applyAlignment="1">
      <alignment horizontal="center"/>
    </xf>
    <xf numFmtId="0" fontId="33" fillId="0" borderId="0" xfId="0" applyFont="1" applyFill="1" applyBorder="1" applyAlignment="1">
      <alignment horizontal="center" vertical="center"/>
    </xf>
    <xf numFmtId="0" fontId="0" fillId="3" borderId="53" xfId="0" applyFont="1" applyFill="1" applyBorder="1"/>
    <xf numFmtId="0" fontId="0" fillId="3" borderId="159" xfId="0" applyFont="1" applyFill="1" applyBorder="1"/>
    <xf numFmtId="0" fontId="0" fillId="3" borderId="43" xfId="0" applyFont="1" applyFill="1" applyBorder="1"/>
    <xf numFmtId="0" fontId="25" fillId="0" borderId="91" xfId="0" applyFont="1" applyFill="1" applyBorder="1" applyAlignment="1">
      <alignment horizontal="center" vertical="center"/>
    </xf>
    <xf numFmtId="0" fontId="10" fillId="0" borderId="55" xfId="0" applyFont="1" applyFill="1" applyBorder="1"/>
    <xf numFmtId="0" fontId="25" fillId="0" borderId="167" xfId="0" applyFont="1" applyFill="1" applyBorder="1" applyAlignment="1">
      <alignment horizontal="center" vertical="center"/>
    </xf>
    <xf numFmtId="0" fontId="4" fillId="2" borderId="3" xfId="0" applyFont="1" applyFill="1" applyBorder="1" applyAlignment="1">
      <alignment vertical="center"/>
    </xf>
    <xf numFmtId="0" fontId="26" fillId="0" borderId="0" xfId="0" applyFont="1"/>
    <xf numFmtId="0" fontId="2" fillId="2" borderId="70" xfId="0" applyFont="1" applyFill="1" applyBorder="1" applyAlignment="1">
      <alignment horizontal="center" wrapText="1"/>
    </xf>
    <xf numFmtId="0" fontId="2" fillId="2" borderId="50" xfId="0" applyFont="1" applyFill="1" applyBorder="1" applyAlignment="1">
      <alignment horizontal="center" wrapText="1"/>
    </xf>
    <xf numFmtId="0" fontId="2" fillId="2" borderId="60" xfId="0" applyFont="1" applyFill="1" applyBorder="1" applyAlignment="1">
      <alignment horizontal="center" wrapText="1"/>
    </xf>
    <xf numFmtId="166" fontId="0" fillId="2" borderId="82" xfId="1" applyNumberFormat="1" applyFont="1" applyFill="1" applyBorder="1"/>
    <xf numFmtId="166" fontId="0" fillId="2" borderId="77" xfId="1" applyNumberFormat="1" applyFont="1" applyFill="1" applyBorder="1"/>
    <xf numFmtId="166" fontId="1" fillId="2" borderId="77" xfId="1" applyNumberFormat="1" applyFont="1" applyFill="1" applyBorder="1"/>
    <xf numFmtId="166" fontId="10" fillId="2" borderId="77" xfId="1" applyNumberFormat="1" applyFont="1" applyFill="1" applyBorder="1"/>
    <xf numFmtId="166" fontId="10" fillId="2" borderId="93" xfId="1" applyNumberFormat="1" applyFont="1" applyFill="1" applyBorder="1"/>
    <xf numFmtId="166" fontId="24" fillId="10" borderId="173" xfId="0" applyNumberFormat="1" applyFont="1" applyFill="1" applyBorder="1"/>
    <xf numFmtId="166" fontId="0" fillId="3" borderId="14" xfId="1" applyNumberFormat="1" applyFont="1" applyFill="1" applyBorder="1"/>
    <xf numFmtId="166" fontId="0" fillId="3" borderId="8" xfId="1" applyNumberFormat="1" applyFont="1" applyFill="1" applyBorder="1"/>
    <xf numFmtId="166" fontId="10" fillId="3" borderId="8" xfId="1" applyNumberFormat="1" applyFont="1" applyFill="1" applyBorder="1"/>
    <xf numFmtId="166" fontId="10" fillId="3" borderId="11" xfId="1" applyNumberFormat="1" applyFont="1" applyFill="1" applyBorder="1"/>
    <xf numFmtId="0" fontId="10" fillId="3" borderId="82" xfId="0" applyFont="1" applyFill="1" applyBorder="1" applyAlignment="1">
      <alignment horizontal="center"/>
    </xf>
    <xf numFmtId="0" fontId="10" fillId="3" borderId="77" xfId="0" applyFont="1" applyFill="1" applyBorder="1" applyAlignment="1">
      <alignment horizontal="center"/>
    </xf>
    <xf numFmtId="0" fontId="0" fillId="3" borderId="77" xfId="0" applyFont="1" applyFill="1" applyBorder="1" applyAlignment="1">
      <alignment horizontal="center"/>
    </xf>
    <xf numFmtId="0" fontId="10" fillId="3" borderId="77" xfId="0" applyFont="1" applyFill="1" applyBorder="1" applyAlignment="1">
      <alignment horizontal="left"/>
    </xf>
    <xf numFmtId="0" fontId="10" fillId="3" borderId="79" xfId="0" applyFont="1" applyFill="1" applyBorder="1" applyAlignment="1">
      <alignment horizontal="left"/>
    </xf>
    <xf numFmtId="0" fontId="0" fillId="3" borderId="12" xfId="0" applyFont="1" applyFill="1" applyBorder="1"/>
    <xf numFmtId="0" fontId="2" fillId="9" borderId="50" xfId="0" applyFont="1" applyFill="1" applyBorder="1" applyAlignment="1">
      <alignment horizontal="center" wrapText="1"/>
    </xf>
    <xf numFmtId="171" fontId="21" fillId="0" borderId="0" xfId="0" applyNumberFormat="1" applyFont="1" applyFill="1" applyBorder="1" applyAlignment="1">
      <alignment vertical="center"/>
    </xf>
    <xf numFmtId="166" fontId="17" fillId="2" borderId="15" xfId="0" applyNumberFormat="1" applyFont="1" applyFill="1" applyBorder="1" applyAlignment="1">
      <alignment horizontal="center" vertical="center"/>
    </xf>
    <xf numFmtId="166" fontId="17" fillId="2" borderId="16" xfId="0" applyNumberFormat="1" applyFont="1" applyFill="1" applyBorder="1" applyAlignment="1">
      <alignment horizontal="center" vertical="center"/>
    </xf>
    <xf numFmtId="166" fontId="17" fillId="13" borderId="16" xfId="0" applyNumberFormat="1" applyFont="1" applyFill="1" applyBorder="1" applyAlignment="1">
      <alignment horizontal="center" vertical="center"/>
    </xf>
    <xf numFmtId="168" fontId="2" fillId="13" borderId="73" xfId="0" applyNumberFormat="1" applyFont="1" applyFill="1" applyBorder="1" applyAlignment="1">
      <alignment horizontal="right"/>
    </xf>
    <xf numFmtId="176" fontId="22" fillId="0" borderId="29" xfId="0" applyNumberFormat="1" applyFont="1" applyFill="1" applyBorder="1" applyAlignment="1">
      <alignment horizontal="right"/>
    </xf>
    <xf numFmtId="170" fontId="0" fillId="2" borderId="44" xfId="1" applyNumberFormat="1" applyFont="1" applyFill="1" applyBorder="1" applyAlignment="1">
      <alignment horizontal="center"/>
    </xf>
    <xf numFmtId="168" fontId="2" fillId="13" borderId="83" xfId="0" applyNumberFormat="1" applyFont="1" applyFill="1" applyBorder="1" applyAlignment="1">
      <alignment horizontal="right"/>
    </xf>
    <xf numFmtId="170" fontId="0" fillId="2" borderId="5" xfId="0" applyNumberFormat="1" applyFont="1" applyFill="1" applyBorder="1" applyAlignment="1">
      <alignment horizontal="right"/>
    </xf>
    <xf numFmtId="170" fontId="0" fillId="2" borderId="36" xfId="0" applyNumberFormat="1" applyFont="1" applyFill="1" applyBorder="1" applyAlignment="1">
      <alignment horizontal="right"/>
    </xf>
    <xf numFmtId="170" fontId="2" fillId="13" borderId="41" xfId="1" applyNumberFormat="1" applyFont="1" applyFill="1" applyBorder="1" applyAlignment="1">
      <alignment horizontal="right"/>
    </xf>
    <xf numFmtId="170" fontId="2" fillId="2" borderId="39" xfId="1" applyNumberFormat="1" applyFont="1" applyFill="1" applyBorder="1" applyAlignment="1">
      <alignment horizontal="right"/>
    </xf>
    <xf numFmtId="170" fontId="0" fillId="13" borderId="10" xfId="0" applyNumberFormat="1" applyFont="1" applyFill="1" applyBorder="1" applyAlignment="1">
      <alignment horizontal="right"/>
    </xf>
    <xf numFmtId="170" fontId="0" fillId="13" borderId="24" xfId="0" applyNumberFormat="1" applyFont="1" applyFill="1" applyBorder="1" applyAlignment="1">
      <alignment horizontal="right"/>
    </xf>
    <xf numFmtId="171" fontId="0" fillId="2" borderId="5" xfId="0" applyNumberFormat="1" applyFont="1" applyFill="1" applyBorder="1" applyAlignment="1">
      <alignment horizontal="right"/>
    </xf>
    <xf numFmtId="171" fontId="0" fillId="2" borderId="6" xfId="0" applyNumberFormat="1" applyFont="1" applyFill="1" applyBorder="1" applyAlignment="1">
      <alignment horizontal="right"/>
    </xf>
    <xf numFmtId="171" fontId="0" fillId="13" borderId="10" xfId="0" applyNumberFormat="1" applyFont="1" applyFill="1" applyBorder="1" applyAlignment="1">
      <alignment horizontal="right"/>
    </xf>
    <xf numFmtId="171" fontId="0" fillId="13" borderId="11" xfId="0" applyNumberFormat="1" applyFont="1" applyFill="1" applyBorder="1" applyAlignment="1">
      <alignment horizontal="right"/>
    </xf>
    <xf numFmtId="0" fontId="20" fillId="0" borderId="0" xfId="0" applyFont="1" applyFill="1" applyBorder="1" applyAlignment="1">
      <alignment vertical="center" wrapText="1"/>
    </xf>
    <xf numFmtId="9" fontId="0" fillId="3" borderId="74" xfId="2" applyNumberFormat="1" applyFont="1" applyFill="1" applyBorder="1"/>
    <xf numFmtId="9" fontId="0" fillId="3" borderId="5" xfId="2" applyNumberFormat="1" applyFont="1" applyFill="1" applyBorder="1"/>
    <xf numFmtId="9" fontId="0" fillId="3" borderId="6" xfId="2" applyNumberFormat="1" applyFont="1" applyFill="1" applyBorder="1"/>
    <xf numFmtId="9" fontId="0" fillId="3" borderId="10" xfId="2" applyNumberFormat="1" applyFont="1" applyFill="1" applyBorder="1"/>
    <xf numFmtId="9" fontId="0" fillId="3" borderId="11" xfId="2" applyNumberFormat="1" applyFont="1" applyFill="1" applyBorder="1"/>
    <xf numFmtId="171" fontId="0" fillId="11" borderId="1" xfId="0" applyNumberFormat="1" applyFont="1" applyFill="1" applyBorder="1" applyAlignment="1">
      <alignment horizontal="center"/>
    </xf>
    <xf numFmtId="171" fontId="0" fillId="11" borderId="8" xfId="0" applyNumberFormat="1" applyFont="1" applyFill="1" applyBorder="1" applyAlignment="1">
      <alignment horizontal="center"/>
    </xf>
    <xf numFmtId="171" fontId="1" fillId="3" borderId="1" xfId="1" applyNumberFormat="1" applyFont="1" applyFill="1" applyBorder="1" applyAlignment="1">
      <alignment horizontal="center"/>
    </xf>
    <xf numFmtId="171" fontId="0" fillId="3" borderId="1" xfId="0" applyNumberFormat="1" applyFont="1" applyFill="1" applyBorder="1" applyAlignment="1">
      <alignment horizontal="center"/>
    </xf>
    <xf numFmtId="171" fontId="0" fillId="3" borderId="8" xfId="0" applyNumberFormat="1" applyFont="1" applyFill="1" applyBorder="1" applyAlignment="1">
      <alignment horizontal="center"/>
    </xf>
    <xf numFmtId="170" fontId="0" fillId="13" borderId="11" xfId="0" applyNumberFormat="1" applyFont="1" applyFill="1" applyBorder="1" applyAlignment="1">
      <alignment horizontal="right"/>
    </xf>
    <xf numFmtId="170" fontId="0" fillId="2" borderId="6" xfId="0" applyNumberFormat="1" applyFont="1" applyFill="1" applyBorder="1" applyAlignment="1">
      <alignment horizontal="right"/>
    </xf>
    <xf numFmtId="168" fontId="2" fillId="2" borderId="18" xfId="1" applyFont="1" applyFill="1" applyBorder="1" applyAlignment="1">
      <alignment vertical="center"/>
    </xf>
    <xf numFmtId="168" fontId="2" fillId="2" borderId="19" xfId="1" applyFont="1" applyFill="1" applyBorder="1" applyAlignment="1">
      <alignment vertical="center"/>
    </xf>
    <xf numFmtId="168" fontId="2" fillId="2" borderId="20" xfId="1" applyFont="1" applyFill="1" applyBorder="1" applyAlignment="1">
      <alignment vertical="center"/>
    </xf>
    <xf numFmtId="0" fontId="0" fillId="21" borderId="110" xfId="0" applyFont="1" applyFill="1" applyBorder="1" applyAlignment="1"/>
    <xf numFmtId="0" fontId="0" fillId="21" borderId="143" xfId="0" applyFont="1" applyFill="1" applyBorder="1" applyAlignment="1"/>
    <xf numFmtId="9" fontId="0" fillId="13" borderId="39" xfId="0" applyNumberFormat="1" applyFont="1" applyFill="1" applyBorder="1" applyAlignment="1">
      <alignment horizontal="center"/>
    </xf>
    <xf numFmtId="9" fontId="0" fillId="13" borderId="40" xfId="0" applyNumberFormat="1" applyFont="1" applyFill="1" applyBorder="1" applyAlignment="1">
      <alignment horizontal="center"/>
    </xf>
    <xf numFmtId="9" fontId="0" fillId="3" borderId="12" xfId="2" applyNumberFormat="1" applyFont="1" applyFill="1" applyBorder="1" applyAlignment="1">
      <alignment horizontal="center"/>
    </xf>
    <xf numFmtId="9" fontId="0" fillId="3" borderId="13" xfId="2" applyNumberFormat="1" applyFont="1" applyFill="1" applyBorder="1" applyAlignment="1">
      <alignment horizontal="center"/>
    </xf>
    <xf numFmtId="9" fontId="0" fillId="3" borderId="125" xfId="2" applyNumberFormat="1" applyFont="1" applyFill="1" applyBorder="1" applyAlignment="1">
      <alignment horizontal="center"/>
    </xf>
    <xf numFmtId="9" fontId="0" fillId="3" borderId="9" xfId="2" applyNumberFormat="1" applyFont="1" applyFill="1" applyBorder="1" applyAlignment="1">
      <alignment horizontal="center"/>
    </xf>
    <xf numFmtId="9" fontId="0" fillId="3" borderId="10" xfId="2" applyNumberFormat="1" applyFont="1" applyFill="1" applyBorder="1" applyAlignment="1">
      <alignment horizontal="center"/>
    </xf>
    <xf numFmtId="9" fontId="0" fillId="3" borderId="124" xfId="2" applyNumberFormat="1" applyFont="1" applyFill="1" applyBorder="1" applyAlignment="1">
      <alignment horizontal="center"/>
    </xf>
    <xf numFmtId="9" fontId="2" fillId="13" borderId="148" xfId="0" applyNumberFormat="1" applyFont="1" applyFill="1" applyBorder="1" applyAlignment="1">
      <alignment horizontal="center"/>
    </xf>
    <xf numFmtId="9" fontId="2" fillId="2" borderId="57" xfId="0" applyNumberFormat="1" applyFont="1" applyFill="1" applyBorder="1" applyAlignment="1">
      <alignment horizontal="center"/>
    </xf>
    <xf numFmtId="9" fontId="2" fillId="2" borderId="27" xfId="0" applyNumberFormat="1" applyFont="1" applyFill="1" applyBorder="1" applyAlignment="1">
      <alignment horizontal="center"/>
    </xf>
    <xf numFmtId="9" fontId="2" fillId="2" borderId="31" xfId="0" applyNumberFormat="1" applyFont="1" applyFill="1" applyBorder="1" applyAlignment="1">
      <alignment horizontal="center"/>
    </xf>
    <xf numFmtId="165" fontId="26" fillId="18" borderId="90" xfId="0" applyNumberFormat="1" applyFont="1" applyFill="1" applyBorder="1" applyAlignment="1">
      <alignment horizontal="center" vertical="center"/>
    </xf>
    <xf numFmtId="0" fontId="2" fillId="0" borderId="58" xfId="0" applyFont="1" applyFill="1" applyBorder="1" applyAlignment="1">
      <alignment wrapText="1"/>
    </xf>
    <xf numFmtId="0" fontId="0" fillId="3" borderId="8" xfId="0" applyFont="1" applyFill="1" applyBorder="1" applyAlignment="1">
      <alignment horizontal="left"/>
    </xf>
    <xf numFmtId="0" fontId="0" fillId="3" borderId="6" xfId="0" applyFont="1" applyFill="1" applyBorder="1" applyAlignment="1">
      <alignment horizontal="left"/>
    </xf>
    <xf numFmtId="0" fontId="0" fillId="0" borderId="177" xfId="0" applyFont="1" applyBorder="1"/>
    <xf numFmtId="171" fontId="0" fillId="3" borderId="39" xfId="0" applyNumberFormat="1" applyFont="1" applyFill="1" applyBorder="1"/>
    <xf numFmtId="171" fontId="0" fillId="3" borderId="40" xfId="0" applyNumberFormat="1" applyFont="1" applyFill="1" applyBorder="1"/>
    <xf numFmtId="171" fontId="0" fillId="3" borderId="41" xfId="0" applyNumberFormat="1" applyFont="1" applyFill="1" applyBorder="1"/>
    <xf numFmtId="0" fontId="22" fillId="0" borderId="0" xfId="0" applyFont="1" applyFill="1" applyBorder="1"/>
    <xf numFmtId="168" fontId="16" fillId="0" borderId="127" xfId="0" applyNumberFormat="1" applyFont="1" applyFill="1" applyBorder="1" applyAlignment="1">
      <alignment horizontal="center"/>
    </xf>
    <xf numFmtId="0" fontId="2" fillId="2" borderId="12" xfId="0" applyFont="1" applyFill="1" applyBorder="1" applyAlignment="1">
      <alignment horizontal="center" wrapText="1"/>
    </xf>
    <xf numFmtId="0" fontId="2" fillId="2" borderId="13" xfId="0" applyFont="1" applyFill="1" applyBorder="1" applyAlignment="1">
      <alignment horizontal="center" wrapText="1"/>
    </xf>
    <xf numFmtId="168" fontId="0" fillId="0" borderId="0" xfId="0" applyNumberFormat="1" applyFont="1" applyBorder="1"/>
    <xf numFmtId="171" fontId="21" fillId="10" borderId="180" xfId="0" applyNumberFormat="1" applyFont="1" applyFill="1" applyBorder="1"/>
    <xf numFmtId="15" fontId="19" fillId="0" borderId="0" xfId="0" applyNumberFormat="1" applyFont="1" applyFill="1" applyBorder="1" applyAlignment="1">
      <alignment horizontal="center"/>
    </xf>
    <xf numFmtId="0" fontId="0" fillId="2" borderId="4" xfId="0" applyFont="1" applyFill="1" applyBorder="1" applyAlignment="1">
      <alignment horizontal="center"/>
    </xf>
    <xf numFmtId="0" fontId="24" fillId="10" borderId="182" xfId="0" applyFont="1" applyFill="1" applyBorder="1" applyAlignment="1">
      <alignment horizontal="center" wrapText="1"/>
    </xf>
    <xf numFmtId="0" fontId="0" fillId="7" borderId="9" xfId="0" applyFill="1" applyBorder="1"/>
    <xf numFmtId="0" fontId="0" fillId="2" borderId="12" xfId="0" applyFont="1" applyFill="1" applyBorder="1" applyAlignment="1">
      <alignment vertical="center"/>
    </xf>
    <xf numFmtId="0" fontId="0" fillId="2" borderId="7" xfId="0" applyFont="1" applyFill="1" applyBorder="1" applyAlignment="1">
      <alignment vertical="center"/>
    </xf>
    <xf numFmtId="0" fontId="0" fillId="2" borderId="9" xfId="0" applyFont="1" applyFill="1" applyBorder="1" applyAlignment="1">
      <alignment vertical="center"/>
    </xf>
    <xf numFmtId="0" fontId="2" fillId="29" borderId="15" xfId="0" applyFont="1" applyFill="1" applyBorder="1"/>
    <xf numFmtId="0" fontId="2" fillId="2" borderId="50" xfId="0" applyFont="1" applyFill="1" applyBorder="1" applyAlignment="1">
      <alignment horizontal="center" wrapText="1"/>
    </xf>
    <xf numFmtId="0" fontId="2" fillId="13" borderId="45" xfId="0" applyFont="1" applyFill="1" applyBorder="1" applyAlignment="1">
      <alignment horizontal="center" wrapText="1"/>
    </xf>
    <xf numFmtId="0" fontId="2" fillId="2" borderId="45" xfId="0" applyFont="1" applyFill="1" applyBorder="1" applyAlignment="1">
      <alignment horizontal="center" wrapText="1"/>
    </xf>
    <xf numFmtId="0" fontId="2" fillId="2" borderId="46" xfId="0" applyFont="1" applyFill="1" applyBorder="1" applyAlignment="1">
      <alignment horizontal="center" wrapText="1"/>
    </xf>
    <xf numFmtId="0" fontId="2" fillId="2" borderId="73" xfId="0" applyFont="1" applyFill="1" applyBorder="1" applyAlignment="1">
      <alignment horizontal="center" wrapText="1"/>
    </xf>
    <xf numFmtId="0" fontId="2" fillId="13" borderId="73" xfId="0" applyFont="1" applyFill="1" applyBorder="1" applyAlignment="1">
      <alignment horizontal="center" wrapText="1"/>
    </xf>
    <xf numFmtId="0" fontId="2" fillId="13" borderId="46" xfId="0" applyFont="1" applyFill="1" applyBorder="1" applyAlignment="1">
      <alignment horizontal="center" wrapText="1"/>
    </xf>
    <xf numFmtId="0" fontId="2" fillId="2" borderId="36" xfId="0" applyFont="1" applyFill="1" applyBorder="1" applyAlignment="1">
      <alignment horizontal="center" wrapText="1"/>
    </xf>
    <xf numFmtId="0" fontId="2" fillId="2" borderId="6" xfId="0" applyFont="1" applyFill="1" applyBorder="1" applyAlignment="1">
      <alignment horizontal="center" wrapText="1"/>
    </xf>
    <xf numFmtId="0" fontId="0" fillId="2" borderId="32" xfId="0" applyFont="1" applyFill="1" applyBorder="1"/>
    <xf numFmtId="0" fontId="0" fillId="2" borderId="100" xfId="0" applyFont="1" applyFill="1" applyBorder="1"/>
    <xf numFmtId="0" fontId="2" fillId="13" borderId="78" xfId="0" applyFont="1" applyFill="1" applyBorder="1" applyAlignment="1">
      <alignment horizontal="center" wrapText="1"/>
    </xf>
    <xf numFmtId="0" fontId="2" fillId="2" borderId="21" xfId="0" applyFont="1" applyFill="1" applyBorder="1" applyAlignment="1">
      <alignment horizontal="center" vertical="center" wrapText="1"/>
    </xf>
    <xf numFmtId="0" fontId="35" fillId="0" borderId="0" xfId="0" applyFont="1" applyFill="1" applyBorder="1" applyAlignment="1">
      <alignment vertical="center"/>
    </xf>
    <xf numFmtId="0" fontId="0" fillId="0" borderId="0" xfId="0" applyFill="1" applyAlignment="1">
      <alignment horizontal="center"/>
    </xf>
    <xf numFmtId="0" fontId="2" fillId="0" borderId="0" xfId="0" applyFont="1" applyAlignment="1">
      <alignment wrapText="1"/>
    </xf>
    <xf numFmtId="0" fontId="12" fillId="0" borderId="0" xfId="0" applyFont="1" applyFill="1" applyBorder="1" applyAlignment="1">
      <alignment horizontal="center" vertical="center"/>
    </xf>
    <xf numFmtId="0" fontId="10" fillId="0" borderId="0" xfId="0" applyFont="1" applyFill="1" applyBorder="1" applyAlignment="1">
      <alignment horizontal="center"/>
    </xf>
    <xf numFmtId="0" fontId="35" fillId="0" borderId="0" xfId="0" applyFont="1" applyFill="1" applyBorder="1" applyAlignment="1">
      <alignment horizontal="center" vertical="center"/>
    </xf>
    <xf numFmtId="0" fontId="10" fillId="0" borderId="0" xfId="0" applyFont="1" applyFill="1" applyAlignment="1">
      <alignment horizontal="center"/>
    </xf>
    <xf numFmtId="0" fontId="10" fillId="0" borderId="0" xfId="0" applyFont="1" applyAlignment="1">
      <alignment horizontal="center"/>
    </xf>
    <xf numFmtId="0" fontId="10" fillId="0" borderId="58" xfId="0" applyFont="1" applyFill="1" applyBorder="1" applyAlignment="1">
      <alignment horizontal="center"/>
    </xf>
    <xf numFmtId="0" fontId="10" fillId="28" borderId="67" xfId="0" applyFont="1" applyFill="1" applyBorder="1" applyAlignment="1">
      <alignment horizontal="center"/>
    </xf>
    <xf numFmtId="0" fontId="10" fillId="28" borderId="25" xfId="0" applyFont="1" applyFill="1" applyBorder="1" applyAlignment="1">
      <alignment horizontal="center"/>
    </xf>
    <xf numFmtId="0" fontId="10" fillId="28" borderId="26" xfId="0" applyFont="1" applyFill="1" applyBorder="1" applyAlignment="1">
      <alignment horizontal="center"/>
    </xf>
    <xf numFmtId="177" fontId="10" fillId="28" borderId="5" xfId="0" applyNumberFormat="1" applyFont="1" applyFill="1" applyBorder="1" applyAlignment="1">
      <alignment horizontal="center"/>
    </xf>
    <xf numFmtId="177" fontId="10" fillId="28" borderId="1" xfId="0" applyNumberFormat="1" applyFont="1" applyFill="1" applyBorder="1" applyAlignment="1">
      <alignment horizontal="center"/>
    </xf>
    <xf numFmtId="177" fontId="10" fillId="28" borderId="10" xfId="0" applyNumberFormat="1" applyFont="1" applyFill="1" applyBorder="1" applyAlignment="1">
      <alignment horizontal="center"/>
    </xf>
    <xf numFmtId="177" fontId="10" fillId="0" borderId="0" xfId="0" applyNumberFormat="1" applyFont="1" applyFill="1" applyBorder="1" applyAlignment="1">
      <alignment horizontal="center"/>
    </xf>
    <xf numFmtId="177" fontId="35" fillId="0" borderId="0" xfId="0" applyNumberFormat="1" applyFont="1" applyFill="1" applyBorder="1" applyAlignment="1">
      <alignment horizontal="center" vertical="center"/>
    </xf>
    <xf numFmtId="177" fontId="10" fillId="0" borderId="58" xfId="0" applyNumberFormat="1" applyFont="1" applyFill="1" applyBorder="1" applyAlignment="1">
      <alignment horizontal="center"/>
    </xf>
    <xf numFmtId="177" fontId="10" fillId="28" borderId="25" xfId="0" applyNumberFormat="1" applyFont="1" applyFill="1" applyBorder="1" applyAlignment="1">
      <alignment horizontal="center"/>
    </xf>
    <xf numFmtId="177" fontId="10" fillId="28" borderId="26" xfId="0" applyNumberFormat="1" applyFont="1" applyFill="1" applyBorder="1" applyAlignment="1">
      <alignment horizontal="center"/>
    </xf>
    <xf numFmtId="173" fontId="5" fillId="3" borderId="3" xfId="0" applyNumberFormat="1" applyFont="1" applyFill="1" applyBorder="1" applyAlignment="1">
      <alignment horizontal="center" vertical="center"/>
    </xf>
    <xf numFmtId="173" fontId="10" fillId="13" borderId="5" xfId="0" applyNumberFormat="1" applyFont="1" applyFill="1" applyBorder="1" applyAlignment="1">
      <alignment horizontal="center"/>
    </xf>
    <xf numFmtId="173" fontId="10" fillId="13" borderId="1" xfId="0" applyNumberFormat="1" applyFont="1" applyFill="1" applyBorder="1" applyAlignment="1">
      <alignment horizontal="center"/>
    </xf>
    <xf numFmtId="173" fontId="10" fillId="13" borderId="10" xfId="0" applyNumberFormat="1" applyFont="1" applyFill="1" applyBorder="1" applyAlignment="1">
      <alignment horizontal="center"/>
    </xf>
    <xf numFmtId="0" fontId="44" fillId="0" borderId="58" xfId="0" applyFont="1" applyFill="1" applyBorder="1" applyAlignment="1"/>
    <xf numFmtId="0" fontId="44" fillId="0" borderId="58" xfId="0" applyFont="1" applyFill="1" applyBorder="1" applyAlignment="1">
      <alignment horizontal="center"/>
    </xf>
    <xf numFmtId="0" fontId="44" fillId="0" borderId="0" xfId="0" applyFont="1" applyFill="1" applyBorder="1" applyAlignment="1">
      <alignment horizontal="center"/>
    </xf>
    <xf numFmtId="0" fontId="0" fillId="0" borderId="58" xfId="0" applyBorder="1" applyAlignment="1">
      <alignment horizontal="center"/>
    </xf>
    <xf numFmtId="0" fontId="2" fillId="0" borderId="58" xfId="0" applyFont="1" applyFill="1" applyBorder="1" applyAlignment="1">
      <alignment vertical="center"/>
    </xf>
    <xf numFmtId="0" fontId="2" fillId="0" borderId="58" xfId="0" applyFont="1" applyFill="1" applyBorder="1" applyAlignment="1">
      <alignment horizontal="center" vertical="center"/>
    </xf>
    <xf numFmtId="0" fontId="0" fillId="0" borderId="75" xfId="0" applyFill="1" applyBorder="1"/>
    <xf numFmtId="168" fontId="10" fillId="36" borderId="25" xfId="0" applyNumberFormat="1" applyFont="1" applyFill="1" applyBorder="1" applyAlignment="1"/>
    <xf numFmtId="168" fontId="10" fillId="36" borderId="26" xfId="0" applyNumberFormat="1" applyFont="1" applyFill="1" applyBorder="1" applyAlignment="1"/>
    <xf numFmtId="173" fontId="10" fillId="0" borderId="75" xfId="0" applyNumberFormat="1" applyFont="1" applyFill="1" applyBorder="1" applyAlignment="1">
      <alignment horizontal="center"/>
    </xf>
    <xf numFmtId="168" fontId="10" fillId="36" borderId="74" xfId="0" applyNumberFormat="1" applyFont="1" applyFill="1" applyBorder="1" applyAlignment="1"/>
    <xf numFmtId="173" fontId="10" fillId="0" borderId="0" xfId="0" applyNumberFormat="1" applyFont="1" applyFill="1" applyBorder="1" applyAlignment="1">
      <alignment horizontal="center"/>
    </xf>
    <xf numFmtId="49" fontId="10" fillId="28" borderId="1" xfId="0" applyNumberFormat="1" applyFont="1" applyFill="1" applyBorder="1" applyAlignment="1">
      <alignment horizontal="center"/>
    </xf>
    <xf numFmtId="49" fontId="10" fillId="28" borderId="10" xfId="0" applyNumberFormat="1" applyFont="1" applyFill="1" applyBorder="1" applyAlignment="1">
      <alignment horizontal="center"/>
    </xf>
    <xf numFmtId="0" fontId="2" fillId="0" borderId="55" xfId="0" applyFont="1" applyFill="1" applyBorder="1" applyAlignment="1">
      <alignment textRotation="90" wrapText="1"/>
    </xf>
    <xf numFmtId="0" fontId="2" fillId="0" borderId="0" xfId="0" applyFont="1" applyFill="1" applyBorder="1" applyAlignment="1">
      <alignment textRotation="90" wrapText="1"/>
    </xf>
    <xf numFmtId="168" fontId="10" fillId="2" borderId="67" xfId="1" applyNumberFormat="1" applyFont="1" applyFill="1" applyBorder="1"/>
    <xf numFmtId="168" fontId="10" fillId="2" borderId="67" xfId="1" applyNumberFormat="1" applyFont="1" applyFill="1" applyBorder="1" applyAlignment="1">
      <alignment horizontal="center"/>
    </xf>
    <xf numFmtId="9" fontId="10" fillId="13" borderId="22" xfId="0" applyNumberFormat="1" applyFont="1" applyFill="1" applyBorder="1" applyAlignment="1">
      <alignment horizontal="center"/>
    </xf>
    <xf numFmtId="178" fontId="10" fillId="11" borderId="5" xfId="0" applyNumberFormat="1" applyFont="1" applyFill="1" applyBorder="1" applyAlignment="1">
      <alignment horizontal="center"/>
    </xf>
    <xf numFmtId="0" fontId="2" fillId="13" borderId="26" xfId="0" applyFont="1" applyFill="1" applyBorder="1" applyAlignment="1">
      <alignment horizontal="center" wrapText="1"/>
    </xf>
    <xf numFmtId="168" fontId="10" fillId="9" borderId="81" xfId="1" applyNumberFormat="1" applyFont="1" applyFill="1" applyBorder="1"/>
    <xf numFmtId="0" fontId="2" fillId="0" borderId="0" xfId="0" applyFont="1" applyFill="1" applyBorder="1" applyAlignment="1">
      <alignment vertical="center"/>
    </xf>
    <xf numFmtId="0" fontId="2" fillId="0" borderId="75" xfId="0" applyFont="1" applyFill="1" applyBorder="1" applyAlignment="1">
      <alignment horizontal="center"/>
    </xf>
    <xf numFmtId="0" fontId="28" fillId="0" borderId="0" xfId="0" applyFont="1" applyFill="1" applyBorder="1" applyAlignment="1">
      <alignment horizontal="center"/>
    </xf>
    <xf numFmtId="173" fontId="35" fillId="0" borderId="0" xfId="0" applyNumberFormat="1" applyFont="1" applyFill="1" applyBorder="1" applyAlignment="1">
      <alignment horizontal="center" vertical="center"/>
    </xf>
    <xf numFmtId="173" fontId="10" fillId="0" borderId="58" xfId="0" applyNumberFormat="1" applyFont="1" applyFill="1" applyBorder="1" applyAlignment="1">
      <alignment horizontal="center"/>
    </xf>
    <xf numFmtId="0" fontId="18" fillId="3" borderId="55" xfId="0" applyFont="1" applyFill="1" applyBorder="1" applyAlignment="1">
      <alignment horizontal="center"/>
    </xf>
    <xf numFmtId="0" fontId="18" fillId="2" borderId="55" xfId="0" applyFont="1" applyFill="1" applyBorder="1" applyAlignment="1">
      <alignment horizontal="center"/>
    </xf>
    <xf numFmtId="177" fontId="10" fillId="37" borderId="5" xfId="0" applyNumberFormat="1" applyFont="1" applyFill="1" applyBorder="1" applyAlignment="1">
      <alignment horizontal="center"/>
    </xf>
    <xf numFmtId="177" fontId="10" fillId="37" borderId="13" xfId="0" applyNumberFormat="1" applyFont="1" applyFill="1" applyBorder="1" applyAlignment="1">
      <alignment horizontal="center"/>
    </xf>
    <xf numFmtId="177" fontId="10" fillId="37" borderId="45" xfId="0" applyNumberFormat="1" applyFont="1" applyFill="1" applyBorder="1" applyAlignment="1">
      <alignment horizontal="center"/>
    </xf>
    <xf numFmtId="0" fontId="10" fillId="0" borderId="58" xfId="0" applyFont="1" applyBorder="1" applyAlignment="1">
      <alignment horizontal="center"/>
    </xf>
    <xf numFmtId="9" fontId="10" fillId="13" borderId="23" xfId="0" applyNumberFormat="1" applyFont="1" applyFill="1" applyBorder="1" applyAlignment="1">
      <alignment horizontal="center"/>
    </xf>
    <xf numFmtId="9" fontId="10" fillId="13" borderId="24" xfId="0" applyNumberFormat="1" applyFont="1" applyFill="1" applyBorder="1" applyAlignment="1">
      <alignment horizontal="center"/>
    </xf>
    <xf numFmtId="0" fontId="0" fillId="0" borderId="0" xfId="0" applyNumberFormat="1"/>
    <xf numFmtId="0" fontId="2" fillId="0" borderId="0" xfId="0" applyFont="1" applyBorder="1" applyAlignment="1">
      <alignment horizontal="center" wrapText="1"/>
    </xf>
    <xf numFmtId="0" fontId="2" fillId="13" borderId="10" xfId="0" applyFont="1" applyFill="1" applyBorder="1" applyAlignment="1">
      <alignment horizontal="center" wrapText="1"/>
    </xf>
    <xf numFmtId="0" fontId="8" fillId="2" borderId="78" xfId="0" applyFont="1" applyFill="1" applyBorder="1" applyAlignment="1">
      <alignment horizontal="center" wrapText="1"/>
    </xf>
    <xf numFmtId="0" fontId="8" fillId="2" borderId="46" xfId="0" applyFont="1" applyFill="1" applyBorder="1" applyAlignment="1">
      <alignment horizontal="center" wrapText="1"/>
    </xf>
    <xf numFmtId="0" fontId="12" fillId="0" borderId="0" xfId="0" applyFont="1" applyFill="1" applyBorder="1" applyAlignment="1">
      <alignment horizontal="center" vertical="center" wrapText="1"/>
    </xf>
    <xf numFmtId="0" fontId="12" fillId="0" borderId="29" xfId="0" applyFont="1" applyFill="1" applyBorder="1" applyAlignment="1">
      <alignment horizontal="center" wrapText="1"/>
    </xf>
    <xf numFmtId="171" fontId="10" fillId="0" borderId="0" xfId="0" applyNumberFormat="1" applyFont="1" applyFill="1" applyBorder="1"/>
    <xf numFmtId="171" fontId="10" fillId="0" borderId="75" xfId="2" applyNumberFormat="1" applyFont="1" applyFill="1" applyBorder="1"/>
    <xf numFmtId="171" fontId="10" fillId="0" borderId="75" xfId="0" applyNumberFormat="1" applyFont="1" applyFill="1" applyBorder="1"/>
    <xf numFmtId="0" fontId="0" fillId="0" borderId="0" xfId="0" applyBorder="1" applyAlignment="1">
      <alignment horizontal="center"/>
    </xf>
    <xf numFmtId="0" fontId="10" fillId="0" borderId="0" xfId="0" applyFont="1" applyBorder="1" applyAlignment="1">
      <alignment horizontal="center"/>
    </xf>
    <xf numFmtId="49" fontId="10" fillId="28" borderId="26" xfId="0" applyNumberFormat="1" applyFont="1" applyFill="1" applyBorder="1" applyAlignment="1">
      <alignment horizontal="center"/>
    </xf>
    <xf numFmtId="172" fontId="10" fillId="3" borderId="5" xfId="0" applyNumberFormat="1" applyFont="1" applyFill="1" applyBorder="1" applyAlignment="1">
      <alignment horizontal="center"/>
    </xf>
    <xf numFmtId="172" fontId="10" fillId="3" borderId="13" xfId="0" applyNumberFormat="1" applyFont="1" applyFill="1" applyBorder="1" applyAlignment="1">
      <alignment horizontal="center"/>
    </xf>
    <xf numFmtId="172" fontId="10" fillId="3" borderId="45" xfId="0" applyNumberFormat="1" applyFont="1" applyFill="1" applyBorder="1" applyAlignment="1">
      <alignment horizontal="center"/>
    </xf>
    <xf numFmtId="173" fontId="10" fillId="11" borderId="74" xfId="2" applyNumberFormat="1" applyFont="1" applyFill="1" applyBorder="1" applyAlignment="1">
      <alignment horizontal="center"/>
    </xf>
    <xf numFmtId="173" fontId="10" fillId="11" borderId="5" xfId="2" applyNumberFormat="1" applyFont="1" applyFill="1" applyBorder="1" applyAlignment="1">
      <alignment horizontal="center"/>
    </xf>
    <xf numFmtId="173" fontId="10" fillId="11" borderId="67" xfId="2" applyNumberFormat="1" applyFont="1" applyFill="1" applyBorder="1" applyAlignment="1">
      <alignment horizontal="center"/>
    </xf>
    <xf numFmtId="173" fontId="10" fillId="11" borderId="13" xfId="2" applyNumberFormat="1" applyFont="1" applyFill="1" applyBorder="1" applyAlignment="1">
      <alignment horizontal="center"/>
    </xf>
    <xf numFmtId="173" fontId="10" fillId="11" borderId="26" xfId="2" applyNumberFormat="1" applyFont="1" applyFill="1" applyBorder="1" applyAlignment="1">
      <alignment horizontal="center"/>
    </xf>
    <xf numFmtId="173" fontId="10" fillId="11" borderId="45" xfId="2" applyNumberFormat="1" applyFont="1" applyFill="1" applyBorder="1" applyAlignment="1">
      <alignment horizontal="center"/>
    </xf>
    <xf numFmtId="0" fontId="10" fillId="28" borderId="74" xfId="0" applyFont="1" applyFill="1" applyBorder="1" applyAlignment="1">
      <alignment horizontal="center"/>
    </xf>
    <xf numFmtId="177" fontId="10" fillId="2" borderId="4" xfId="0" applyNumberFormat="1" applyFont="1" applyFill="1" applyBorder="1" applyAlignment="1">
      <alignment horizontal="center"/>
    </xf>
    <xf numFmtId="177" fontId="10" fillId="2" borderId="7" xfId="0" applyNumberFormat="1" applyFont="1" applyFill="1" applyBorder="1" applyAlignment="1">
      <alignment horizontal="center"/>
    </xf>
    <xf numFmtId="177" fontId="10" fillId="2" borderId="9" xfId="0" applyNumberFormat="1" applyFont="1" applyFill="1" applyBorder="1" applyAlignment="1">
      <alignment horizontal="center"/>
    </xf>
    <xf numFmtId="178" fontId="10" fillId="11" borderId="74" xfId="0" applyNumberFormat="1" applyFont="1" applyFill="1" applyBorder="1" applyAlignment="1">
      <alignment horizontal="center"/>
    </xf>
    <xf numFmtId="49" fontId="10" fillId="28" borderId="67" xfId="0" applyNumberFormat="1" applyFont="1" applyFill="1" applyBorder="1" applyAlignment="1">
      <alignment horizontal="center"/>
    </xf>
    <xf numFmtId="173" fontId="0" fillId="0" borderId="0" xfId="0" applyNumberFormat="1" applyAlignment="1">
      <alignment horizontal="center"/>
    </xf>
    <xf numFmtId="0" fontId="2" fillId="2" borderId="23" xfId="0" applyFont="1" applyFill="1" applyBorder="1"/>
    <xf numFmtId="0" fontId="0" fillId="2" borderId="56" xfId="0" applyFill="1" applyBorder="1" applyAlignment="1">
      <alignment horizontal="center"/>
    </xf>
    <xf numFmtId="0" fontId="0" fillId="2" borderId="56" xfId="0" applyFill="1" applyBorder="1"/>
    <xf numFmtId="0" fontId="2" fillId="30" borderId="37" xfId="0" applyFont="1" applyFill="1" applyBorder="1" applyAlignment="1">
      <alignment horizontal="center" wrapText="1"/>
    </xf>
    <xf numFmtId="0" fontId="2" fillId="38" borderId="2" xfId="0" applyFont="1" applyFill="1" applyBorder="1" applyAlignment="1">
      <alignment horizontal="center" wrapText="1"/>
    </xf>
    <xf numFmtId="0" fontId="2" fillId="33" borderId="2" xfId="0" applyFont="1" applyFill="1" applyBorder="1" applyAlignment="1">
      <alignment horizontal="center" wrapText="1"/>
    </xf>
    <xf numFmtId="0" fontId="2" fillId="40" borderId="2" xfId="0" applyFont="1" applyFill="1" applyBorder="1" applyAlignment="1">
      <alignment horizontal="center"/>
    </xf>
    <xf numFmtId="0" fontId="2" fillId="34" borderId="33" xfId="0" applyFont="1" applyFill="1" applyBorder="1" applyAlignment="1">
      <alignment horizontal="center"/>
    </xf>
    <xf numFmtId="0" fontId="2" fillId="13" borderId="35" xfId="0" applyFont="1" applyFill="1" applyBorder="1"/>
    <xf numFmtId="0" fontId="0" fillId="13" borderId="160" xfId="0" applyFill="1" applyBorder="1" applyAlignment="1">
      <alignment horizontal="center"/>
    </xf>
    <xf numFmtId="0" fontId="0" fillId="13" borderId="160" xfId="0" applyFill="1" applyBorder="1"/>
    <xf numFmtId="0" fontId="2" fillId="31" borderId="160" xfId="0" applyFont="1" applyFill="1" applyBorder="1" applyAlignment="1">
      <alignment horizontal="center"/>
    </xf>
    <xf numFmtId="179" fontId="0" fillId="39" borderId="160" xfId="0" applyNumberFormat="1" applyFill="1" applyBorder="1"/>
    <xf numFmtId="0" fontId="2" fillId="16" borderId="160" xfId="0" applyFont="1" applyFill="1" applyBorder="1" applyAlignment="1">
      <alignment horizontal="center"/>
    </xf>
    <xf numFmtId="0" fontId="2" fillId="41" borderId="160" xfId="0" applyFont="1" applyFill="1" applyBorder="1" applyAlignment="1">
      <alignment horizontal="center"/>
    </xf>
    <xf numFmtId="0" fontId="2" fillId="35" borderId="34" xfId="0" applyFont="1" applyFill="1" applyBorder="1" applyAlignment="1">
      <alignment horizontal="center"/>
    </xf>
    <xf numFmtId="0" fontId="2" fillId="13" borderId="31" xfId="0" applyFont="1" applyFill="1" applyBorder="1"/>
    <xf numFmtId="49" fontId="0" fillId="13" borderId="0" xfId="0" applyNumberFormat="1" applyFill="1" applyBorder="1" applyAlignment="1">
      <alignment horizontal="center"/>
    </xf>
    <xf numFmtId="178" fontId="0" fillId="13" borderId="0" xfId="0" applyNumberFormat="1" applyFill="1" applyBorder="1"/>
    <xf numFmtId="179" fontId="0" fillId="31" borderId="0" xfId="0" applyNumberFormat="1" applyFill="1" applyBorder="1" applyAlignment="1">
      <alignment horizontal="right"/>
    </xf>
    <xf numFmtId="179" fontId="0" fillId="39" borderId="0" xfId="0" applyNumberFormat="1" applyFill="1" applyBorder="1"/>
    <xf numFmtId="179" fontId="0" fillId="16" borderId="0" xfId="0" applyNumberFormat="1" applyFill="1" applyBorder="1"/>
    <xf numFmtId="179" fontId="0" fillId="41" borderId="0" xfId="0" applyNumberFormat="1" applyFill="1" applyBorder="1" applyAlignment="1">
      <alignment horizontal="right"/>
    </xf>
    <xf numFmtId="179" fontId="0" fillId="35" borderId="57" xfId="0" applyNumberFormat="1" applyFill="1" applyBorder="1"/>
    <xf numFmtId="0" fontId="2" fillId="13" borderId="22" xfId="0" applyFont="1" applyFill="1" applyBorder="1"/>
    <xf numFmtId="49" fontId="0" fillId="13" borderId="81" xfId="0" applyNumberFormat="1" applyFill="1" applyBorder="1" applyAlignment="1">
      <alignment horizontal="center"/>
    </xf>
    <xf numFmtId="178" fontId="0" fillId="13" borderId="81" xfId="0" applyNumberFormat="1" applyFill="1" applyBorder="1"/>
    <xf numFmtId="179" fontId="0" fillId="31" borderId="81" xfId="0" applyNumberFormat="1" applyFill="1" applyBorder="1" applyAlignment="1">
      <alignment horizontal="right"/>
    </xf>
    <xf numFmtId="179" fontId="0" fillId="39" borderId="81" xfId="0" applyNumberFormat="1" applyFill="1" applyBorder="1"/>
    <xf numFmtId="179" fontId="0" fillId="16" borderId="81" xfId="0" applyNumberFormat="1" applyFill="1" applyBorder="1"/>
    <xf numFmtId="179" fontId="0" fillId="41" borderId="81" xfId="0" applyNumberFormat="1" applyFill="1" applyBorder="1" applyAlignment="1">
      <alignment horizontal="right"/>
    </xf>
    <xf numFmtId="179" fontId="0" fillId="35" borderId="67" xfId="0" applyNumberFormat="1" applyFill="1" applyBorder="1"/>
    <xf numFmtId="0" fontId="0" fillId="31" borderId="1" xfId="0" applyFill="1" applyBorder="1" applyAlignment="1">
      <alignment horizontal="center"/>
    </xf>
    <xf numFmtId="172" fontId="0" fillId="39" borderId="1" xfId="0" applyNumberFormat="1" applyFill="1" applyBorder="1" applyAlignment="1">
      <alignment horizontal="center"/>
    </xf>
    <xf numFmtId="0" fontId="0" fillId="16" borderId="1" xfId="0" applyFill="1" applyBorder="1" applyAlignment="1">
      <alignment horizontal="center"/>
    </xf>
    <xf numFmtId="0" fontId="0" fillId="41" borderId="1" xfId="0" applyFill="1" applyBorder="1" applyAlignment="1">
      <alignment horizontal="center"/>
    </xf>
    <xf numFmtId="173" fontId="0" fillId="31" borderId="1" xfId="0" applyNumberFormat="1" applyFill="1" applyBorder="1" applyAlignment="1">
      <alignment horizontal="center"/>
    </xf>
    <xf numFmtId="173" fontId="0" fillId="39" borderId="1" xfId="2" applyNumberFormat="1" applyFont="1" applyFill="1" applyBorder="1" applyAlignment="1">
      <alignment horizontal="center"/>
    </xf>
    <xf numFmtId="173" fontId="0" fillId="16" borderId="1" xfId="0" applyNumberFormat="1" applyFill="1" applyBorder="1" applyAlignment="1">
      <alignment horizontal="center"/>
    </xf>
    <xf numFmtId="173" fontId="0" fillId="41" borderId="1" xfId="0" applyNumberFormat="1" applyFill="1" applyBorder="1" applyAlignment="1">
      <alignment horizontal="center"/>
    </xf>
    <xf numFmtId="9" fontId="0" fillId="31" borderId="1" xfId="0" applyNumberFormat="1" applyFill="1" applyBorder="1" applyAlignment="1">
      <alignment horizontal="center"/>
    </xf>
    <xf numFmtId="9" fontId="0" fillId="41" borderId="1" xfId="0" applyNumberFormat="1" applyFill="1" applyBorder="1" applyAlignment="1">
      <alignment horizontal="center"/>
    </xf>
    <xf numFmtId="0" fontId="0" fillId="2" borderId="25" xfId="0" applyFill="1" applyBorder="1"/>
    <xf numFmtId="164" fontId="0" fillId="0" borderId="160" xfId="0" applyNumberFormat="1" applyFill="1" applyBorder="1" applyAlignment="1">
      <alignment horizontal="center"/>
    </xf>
    <xf numFmtId="164" fontId="0" fillId="0" borderId="160" xfId="2" applyNumberFormat="1" applyFont="1" applyFill="1" applyBorder="1" applyAlignment="1">
      <alignment horizontal="center"/>
    </xf>
    <xf numFmtId="164" fontId="0" fillId="0" borderId="0" xfId="0" applyNumberFormat="1" applyFill="1" applyBorder="1" applyAlignment="1">
      <alignment horizontal="center"/>
    </xf>
    <xf numFmtId="164" fontId="0" fillId="0" borderId="0" xfId="2" applyNumberFormat="1" applyFont="1" applyFill="1" applyBorder="1" applyAlignment="1">
      <alignment horizontal="center"/>
    </xf>
    <xf numFmtId="0" fontId="0" fillId="35" borderId="1" xfId="0" applyFill="1" applyBorder="1" applyAlignment="1">
      <alignment horizontal="center"/>
    </xf>
    <xf numFmtId="0" fontId="2" fillId="9" borderId="35" xfId="0" applyFont="1" applyFill="1" applyBorder="1" applyAlignment="1">
      <alignment horizontal="center"/>
    </xf>
    <xf numFmtId="0" fontId="2" fillId="9" borderId="160" xfId="0" applyFont="1" applyFill="1" applyBorder="1" applyAlignment="1">
      <alignment horizontal="center"/>
    </xf>
    <xf numFmtId="0" fontId="2" fillId="9" borderId="34" xfId="0" applyFont="1" applyFill="1" applyBorder="1" applyAlignment="1">
      <alignment horizontal="center"/>
    </xf>
    <xf numFmtId="179" fontId="0" fillId="9" borderId="31" xfId="0" applyNumberFormat="1" applyFill="1" applyBorder="1"/>
    <xf numFmtId="179" fontId="0" fillId="9" borderId="0" xfId="0" applyNumberFormat="1" applyFill="1" applyBorder="1"/>
    <xf numFmtId="179" fontId="0" fillId="9" borderId="57" xfId="0" applyNumberFormat="1" applyFill="1" applyBorder="1"/>
    <xf numFmtId="0" fontId="0" fillId="2" borderId="22" xfId="0" applyFill="1" applyBorder="1"/>
    <xf numFmtId="0" fontId="0" fillId="2" borderId="81" xfId="0" applyFill="1" applyBorder="1"/>
    <xf numFmtId="0" fontId="0" fillId="2" borderId="67" xfId="0" applyFill="1" applyBorder="1"/>
    <xf numFmtId="172" fontId="10" fillId="3" borderId="10" xfId="0" applyNumberFormat="1" applyFont="1" applyFill="1" applyBorder="1" applyAlignment="1">
      <alignment horizontal="center"/>
    </xf>
    <xf numFmtId="174" fontId="10" fillId="3" borderId="5" xfId="0" applyNumberFormat="1" applyFont="1" applyFill="1" applyBorder="1" applyAlignment="1">
      <alignment horizontal="right"/>
    </xf>
    <xf numFmtId="174" fontId="10" fillId="3" borderId="1" xfId="0" applyNumberFormat="1" applyFont="1" applyFill="1" applyBorder="1" applyAlignment="1">
      <alignment horizontal="right"/>
    </xf>
    <xf numFmtId="174" fontId="10" fillId="3" borderId="10" xfId="0" applyNumberFormat="1" applyFont="1" applyFill="1" applyBorder="1" applyAlignment="1">
      <alignment horizontal="right"/>
    </xf>
    <xf numFmtId="173" fontId="10" fillId="28" borderId="67" xfId="0" applyNumberFormat="1" applyFont="1" applyFill="1" applyBorder="1" applyAlignment="1">
      <alignment horizontal="center"/>
    </xf>
    <xf numFmtId="173" fontId="10" fillId="28" borderId="26" xfId="0" applyNumberFormat="1" applyFont="1" applyFill="1" applyBorder="1" applyAlignment="1">
      <alignment horizontal="center"/>
    </xf>
    <xf numFmtId="168" fontId="10" fillId="7" borderId="67" xfId="1" applyNumberFormat="1" applyFont="1" applyFill="1" applyBorder="1"/>
    <xf numFmtId="168" fontId="10" fillId="7" borderId="25" xfId="0" applyNumberFormat="1" applyFont="1" applyFill="1" applyBorder="1"/>
    <xf numFmtId="168" fontId="10" fillId="7" borderId="26" xfId="0" applyNumberFormat="1" applyFont="1" applyFill="1" applyBorder="1"/>
    <xf numFmtId="166" fontId="10" fillId="7" borderId="26" xfId="0" applyNumberFormat="1" applyFont="1" applyFill="1" applyBorder="1"/>
    <xf numFmtId="177" fontId="10" fillId="11" borderId="67" xfId="1" applyNumberFormat="1" applyFont="1" applyFill="1" applyBorder="1" applyAlignment="1">
      <alignment horizontal="center"/>
    </xf>
    <xf numFmtId="177" fontId="10" fillId="11" borderId="25" xfId="0" applyNumberFormat="1" applyFont="1" applyFill="1" applyBorder="1" applyAlignment="1">
      <alignment horizontal="center"/>
    </xf>
    <xf numFmtId="177" fontId="10" fillId="11" borderId="26" xfId="0" applyNumberFormat="1" applyFont="1" applyFill="1" applyBorder="1" applyAlignment="1">
      <alignment horizontal="center"/>
    </xf>
    <xf numFmtId="166" fontId="10" fillId="7" borderId="67" xfId="2" applyNumberFormat="1" applyFont="1" applyFill="1" applyBorder="1"/>
    <xf numFmtId="166" fontId="10" fillId="7" borderId="26" xfId="2" applyNumberFormat="1" applyFont="1" applyFill="1" applyBorder="1"/>
    <xf numFmtId="166" fontId="10" fillId="7" borderId="67" xfId="0" applyNumberFormat="1" applyFont="1" applyFill="1" applyBorder="1"/>
    <xf numFmtId="166" fontId="10" fillId="7" borderId="13" xfId="2" applyNumberFormat="1" applyFont="1" applyFill="1" applyBorder="1"/>
    <xf numFmtId="166" fontId="10" fillId="7" borderId="10" xfId="2" applyNumberFormat="1" applyFont="1" applyFill="1" applyBorder="1"/>
    <xf numFmtId="166" fontId="10" fillId="7" borderId="13" xfId="0" applyNumberFormat="1" applyFont="1" applyFill="1" applyBorder="1"/>
    <xf numFmtId="166" fontId="10" fillId="7" borderId="10" xfId="0" applyNumberFormat="1" applyFont="1" applyFill="1" applyBorder="1"/>
    <xf numFmtId="166" fontId="10" fillId="2" borderId="13" xfId="2" applyNumberFormat="1" applyFont="1" applyFill="1" applyBorder="1"/>
    <xf numFmtId="166" fontId="10" fillId="2" borderId="6" xfId="2" applyNumberFormat="1" applyFont="1" applyFill="1" applyBorder="1"/>
    <xf numFmtId="166" fontId="10" fillId="2" borderId="14" xfId="2" applyNumberFormat="1" applyFont="1" applyFill="1" applyBorder="1"/>
    <xf numFmtId="166" fontId="10" fillId="2" borderId="83" xfId="2" applyNumberFormat="1" applyFont="1" applyFill="1" applyBorder="1"/>
    <xf numFmtId="166" fontId="10" fillId="2" borderId="6" xfId="0" applyNumberFormat="1" applyFont="1" applyFill="1" applyBorder="1"/>
    <xf numFmtId="166" fontId="10" fillId="2" borderId="8" xfId="0" applyNumberFormat="1" applyFont="1" applyFill="1" applyBorder="1"/>
    <xf numFmtId="166" fontId="10" fillId="2" borderId="10" xfId="2" applyNumberFormat="1" applyFont="1" applyFill="1" applyBorder="1"/>
    <xf numFmtId="166" fontId="10" fillId="2" borderId="11" xfId="0" applyNumberFormat="1" applyFont="1" applyFill="1" applyBorder="1"/>
    <xf numFmtId="0" fontId="0" fillId="0" borderId="0" xfId="0" applyFill="1" applyAlignment="1">
      <alignment horizontal="right"/>
    </xf>
    <xf numFmtId="0" fontId="8" fillId="2" borderId="46" xfId="0" applyFont="1" applyFill="1" applyBorder="1" applyAlignment="1">
      <alignment horizontal="center" wrapText="1"/>
    </xf>
    <xf numFmtId="0" fontId="8" fillId="2" borderId="78" xfId="0" applyFont="1" applyFill="1" applyBorder="1" applyAlignment="1">
      <alignment horizontal="center" wrapText="1"/>
    </xf>
    <xf numFmtId="0" fontId="2" fillId="13" borderId="10" xfId="0" applyFont="1" applyFill="1" applyBorder="1" applyAlignment="1">
      <alignment horizontal="center" wrapText="1"/>
    </xf>
    <xf numFmtId="0" fontId="4" fillId="0" borderId="0" xfId="0" applyFont="1" applyAlignment="1">
      <alignment horizontal="left"/>
    </xf>
    <xf numFmtId="0" fontId="8" fillId="2" borderId="46" xfId="0" applyFont="1" applyFill="1" applyBorder="1" applyAlignment="1">
      <alignment horizontal="center" wrapText="1"/>
    </xf>
    <xf numFmtId="0" fontId="8" fillId="2" borderId="78" xfId="0" applyFont="1" applyFill="1" applyBorder="1" applyAlignment="1">
      <alignment horizontal="center" wrapText="1"/>
    </xf>
    <xf numFmtId="0" fontId="2" fillId="13" borderId="10" xfId="0" applyFont="1" applyFill="1" applyBorder="1" applyAlignment="1">
      <alignment horizontal="center" wrapText="1"/>
    </xf>
    <xf numFmtId="177" fontId="10" fillId="28" borderId="13" xfId="0" applyNumberFormat="1" applyFont="1" applyFill="1" applyBorder="1" applyAlignment="1">
      <alignment horizontal="center"/>
    </xf>
    <xf numFmtId="168" fontId="10" fillId="42" borderId="82" xfId="0" applyNumberFormat="1" applyFont="1" applyFill="1" applyBorder="1" applyAlignment="1"/>
    <xf numFmtId="168" fontId="10" fillId="42" borderId="60" xfId="0" applyNumberFormat="1" applyFont="1" applyFill="1" applyBorder="1" applyAlignment="1"/>
    <xf numFmtId="171" fontId="10" fillId="3" borderId="4" xfId="2" applyNumberFormat="1" applyFont="1" applyFill="1" applyBorder="1" applyAlignment="1">
      <alignment horizontal="center"/>
    </xf>
    <xf numFmtId="171" fontId="10" fillId="3" borderId="67" xfId="2" applyNumberFormat="1" applyFont="1" applyFill="1" applyBorder="1" applyAlignment="1">
      <alignment horizontal="center"/>
    </xf>
    <xf numFmtId="9" fontId="10" fillId="3" borderId="67" xfId="2" applyNumberFormat="1" applyFont="1" applyFill="1" applyBorder="1" applyAlignment="1">
      <alignment horizontal="center"/>
    </xf>
    <xf numFmtId="165" fontId="0" fillId="3" borderId="13" xfId="0" applyNumberFormat="1" applyFill="1" applyBorder="1" applyAlignment="1">
      <alignment horizontal="center"/>
    </xf>
    <xf numFmtId="171" fontId="10" fillId="3" borderId="7" xfId="2" applyNumberFormat="1" applyFont="1" applyFill="1" applyBorder="1" applyAlignment="1">
      <alignment horizontal="center"/>
    </xf>
    <xf numFmtId="165" fontId="0" fillId="3" borderId="1" xfId="0" applyNumberFormat="1" applyFill="1" applyBorder="1" applyAlignment="1">
      <alignment horizontal="center"/>
    </xf>
    <xf numFmtId="171" fontId="10" fillId="3" borderId="9" xfId="2" applyNumberFormat="1" applyFont="1" applyFill="1" applyBorder="1" applyAlignment="1">
      <alignment horizontal="center"/>
    </xf>
    <xf numFmtId="171" fontId="10" fillId="3" borderId="26" xfId="2" applyNumberFormat="1" applyFont="1" applyFill="1" applyBorder="1" applyAlignment="1">
      <alignment horizontal="center"/>
    </xf>
    <xf numFmtId="9" fontId="10" fillId="3" borderId="78" xfId="2" applyNumberFormat="1" applyFont="1" applyFill="1" applyBorder="1" applyAlignment="1">
      <alignment horizontal="center"/>
    </xf>
    <xf numFmtId="165" fontId="0" fillId="3" borderId="10" xfId="0" applyNumberFormat="1" applyFill="1" applyBorder="1" applyAlignment="1">
      <alignment horizontal="center"/>
    </xf>
    <xf numFmtId="173" fontId="10" fillId="13" borderId="5" xfId="2" applyNumberFormat="1" applyFont="1" applyFill="1" applyBorder="1" applyAlignment="1">
      <alignment horizontal="center"/>
    </xf>
    <xf numFmtId="9" fontId="10" fillId="13" borderId="67" xfId="0" applyNumberFormat="1" applyFont="1" applyFill="1" applyBorder="1" applyAlignment="1">
      <alignment horizontal="center"/>
    </xf>
    <xf numFmtId="9" fontId="10" fillId="13" borderId="25" xfId="0" applyNumberFormat="1" applyFont="1" applyFill="1" applyBorder="1" applyAlignment="1">
      <alignment horizontal="center"/>
    </xf>
    <xf numFmtId="9" fontId="10" fillId="13" borderId="26" xfId="0" applyNumberFormat="1" applyFont="1" applyFill="1" applyBorder="1" applyAlignment="1">
      <alignment horizontal="center"/>
    </xf>
    <xf numFmtId="168" fontId="10" fillId="2" borderId="67" xfId="0" applyNumberFormat="1" applyFont="1" applyFill="1" applyBorder="1"/>
    <xf numFmtId="168" fontId="10" fillId="2" borderId="67" xfId="0" applyNumberFormat="1" applyFont="1" applyFill="1" applyBorder="1" applyAlignment="1">
      <alignment horizontal="center"/>
    </xf>
    <xf numFmtId="168" fontId="10" fillId="2" borderId="81" xfId="0" applyNumberFormat="1" applyFont="1" applyFill="1" applyBorder="1"/>
    <xf numFmtId="168" fontId="10" fillId="2" borderId="25" xfId="0" applyNumberFormat="1" applyFont="1" applyFill="1" applyBorder="1"/>
    <xf numFmtId="168" fontId="10" fillId="2" borderId="26" xfId="0" applyNumberFormat="1" applyFont="1" applyFill="1" applyBorder="1"/>
    <xf numFmtId="168" fontId="10" fillId="2" borderId="26" xfId="0" applyNumberFormat="1" applyFont="1" applyFill="1" applyBorder="1" applyAlignment="1">
      <alignment horizontal="center"/>
    </xf>
    <xf numFmtId="168" fontId="10" fillId="2" borderId="62" xfId="0" applyNumberFormat="1" applyFont="1" applyFill="1" applyBorder="1"/>
    <xf numFmtId="171" fontId="10" fillId="3" borderId="1" xfId="2" applyNumberFormat="1" applyFont="1" applyFill="1" applyBorder="1" applyAlignment="1">
      <alignment horizontal="center"/>
    </xf>
    <xf numFmtId="9" fontId="10" fillId="3" borderId="13" xfId="2" applyNumberFormat="1" applyFont="1" applyFill="1" applyBorder="1" applyAlignment="1">
      <alignment horizontal="center"/>
    </xf>
    <xf numFmtId="9" fontId="10" fillId="3" borderId="1" xfId="2" applyNumberFormat="1" applyFont="1" applyFill="1" applyBorder="1" applyAlignment="1">
      <alignment horizontal="center"/>
    </xf>
    <xf numFmtId="171" fontId="10" fillId="3" borderId="10" xfId="2" applyNumberFormat="1" applyFont="1" applyFill="1" applyBorder="1" applyAlignment="1">
      <alignment horizontal="center"/>
    </xf>
    <xf numFmtId="9" fontId="10" fillId="3" borderId="10" xfId="2" applyNumberFormat="1" applyFont="1" applyFill="1" applyBorder="1" applyAlignment="1">
      <alignment horizontal="center"/>
    </xf>
    <xf numFmtId="0" fontId="9" fillId="0" borderId="0" xfId="0" applyFont="1" applyAlignment="1">
      <alignment horizontal="center"/>
    </xf>
    <xf numFmtId="173" fontId="10" fillId="37" borderId="67" xfId="0" applyNumberFormat="1" applyFont="1" applyFill="1" applyBorder="1" applyAlignment="1">
      <alignment horizontal="center"/>
    </xf>
    <xf numFmtId="0" fontId="0" fillId="0" borderId="0" xfId="0" applyFont="1" applyAlignment="1">
      <alignment horizontal="center"/>
    </xf>
    <xf numFmtId="173" fontId="10" fillId="37" borderId="78" xfId="0" applyNumberFormat="1" applyFont="1" applyFill="1" applyBorder="1" applyAlignment="1">
      <alignment horizontal="center"/>
    </xf>
    <xf numFmtId="173" fontId="10" fillId="0" borderId="0" xfId="0" applyNumberFormat="1" applyFont="1" applyFill="1" applyAlignment="1">
      <alignment horizontal="center"/>
    </xf>
    <xf numFmtId="173" fontId="10" fillId="0" borderId="0" xfId="0" applyNumberFormat="1" applyFont="1" applyAlignment="1">
      <alignment horizontal="center"/>
    </xf>
    <xf numFmtId="173" fontId="10" fillId="0" borderId="58" xfId="0" applyNumberFormat="1" applyFont="1" applyBorder="1" applyAlignment="1">
      <alignment horizontal="center"/>
    </xf>
    <xf numFmtId="173" fontId="10" fillId="11" borderId="67" xfId="1" applyNumberFormat="1" applyFont="1" applyFill="1" applyBorder="1" applyAlignment="1">
      <alignment horizontal="center"/>
    </xf>
    <xf numFmtId="173" fontId="10" fillId="11" borderId="25" xfId="0" applyNumberFormat="1" applyFont="1" applyFill="1" applyBorder="1" applyAlignment="1">
      <alignment horizontal="center"/>
    </xf>
    <xf numFmtId="173" fontId="10" fillId="11" borderId="26" xfId="0" applyNumberFormat="1" applyFont="1" applyFill="1" applyBorder="1" applyAlignment="1">
      <alignment horizontal="center"/>
    </xf>
    <xf numFmtId="166" fontId="10" fillId="13" borderId="67" xfId="2" applyNumberFormat="1" applyFont="1" applyFill="1" applyBorder="1"/>
    <xf numFmtId="166" fontId="0" fillId="2" borderId="61" xfId="0" applyNumberFormat="1" applyFill="1" applyBorder="1"/>
    <xf numFmtId="166" fontId="10" fillId="13" borderId="13" xfId="2" applyNumberFormat="1" applyFont="1" applyFill="1" applyBorder="1"/>
    <xf numFmtId="166" fontId="10" fillId="2" borderId="81" xfId="2" applyNumberFormat="1" applyFont="1" applyFill="1" applyBorder="1"/>
    <xf numFmtId="166" fontId="10" fillId="13" borderId="78" xfId="2" applyNumberFormat="1" applyFont="1" applyFill="1" applyBorder="1"/>
    <xf numFmtId="166" fontId="10" fillId="13" borderId="10" xfId="2" applyNumberFormat="1" applyFont="1" applyFill="1" applyBorder="1"/>
    <xf numFmtId="166" fontId="10" fillId="13" borderId="45" xfId="2" applyNumberFormat="1" applyFont="1" applyFill="1" applyBorder="1"/>
    <xf numFmtId="166" fontId="10" fillId="13" borderId="1" xfId="2" applyNumberFormat="1" applyFont="1" applyFill="1" applyBorder="1"/>
    <xf numFmtId="166" fontId="10" fillId="2" borderId="8" xfId="2" applyNumberFormat="1" applyFont="1" applyFill="1" applyBorder="1"/>
    <xf numFmtId="166" fontId="10" fillId="2" borderId="11" xfId="2" applyNumberFormat="1" applyFont="1" applyFill="1" applyBorder="1"/>
    <xf numFmtId="173" fontId="10" fillId="11" borderId="10" xfId="2" applyNumberFormat="1" applyFont="1" applyFill="1" applyBorder="1" applyAlignment="1">
      <alignment horizontal="center"/>
    </xf>
    <xf numFmtId="9" fontId="10" fillId="13" borderId="11" xfId="0" applyNumberFormat="1" applyFont="1" applyFill="1" applyBorder="1" applyAlignment="1">
      <alignment horizontal="center"/>
    </xf>
    <xf numFmtId="168" fontId="10" fillId="36" borderId="9" xfId="0" applyNumberFormat="1" applyFont="1" applyFill="1" applyBorder="1" applyAlignment="1"/>
    <xf numFmtId="173" fontId="10" fillId="37" borderId="26" xfId="0" applyNumberFormat="1" applyFont="1" applyFill="1" applyBorder="1" applyAlignment="1">
      <alignment horizontal="center"/>
    </xf>
    <xf numFmtId="177" fontId="10" fillId="37" borderId="10" xfId="0" applyNumberFormat="1" applyFont="1" applyFill="1" applyBorder="1" applyAlignment="1">
      <alignment horizontal="center"/>
    </xf>
    <xf numFmtId="168" fontId="10" fillId="42" borderId="79" xfId="0" applyNumberFormat="1" applyFont="1" applyFill="1" applyBorder="1" applyAlignment="1"/>
    <xf numFmtId="168" fontId="10" fillId="2" borderId="26" xfId="1" applyNumberFormat="1" applyFont="1" applyFill="1" applyBorder="1"/>
    <xf numFmtId="168" fontId="10" fillId="2" borderId="26" xfId="1" applyNumberFormat="1" applyFont="1" applyFill="1" applyBorder="1" applyAlignment="1">
      <alignment horizontal="center"/>
    </xf>
    <xf numFmtId="168" fontId="10" fillId="9" borderId="79" xfId="1" applyNumberFormat="1" applyFont="1" applyFill="1" applyBorder="1"/>
    <xf numFmtId="166" fontId="10" fillId="7" borderId="9" xfId="2" applyNumberFormat="1" applyFont="1" applyFill="1" applyBorder="1"/>
    <xf numFmtId="9" fontId="10" fillId="3" borderId="26" xfId="2" applyNumberFormat="1" applyFont="1" applyFill="1" applyBorder="1" applyAlignment="1">
      <alignment horizontal="center"/>
    </xf>
    <xf numFmtId="166" fontId="10" fillId="13" borderId="26" xfId="2" applyNumberFormat="1" applyFont="1" applyFill="1" applyBorder="1"/>
    <xf numFmtId="166" fontId="10" fillId="2" borderId="79" xfId="2" applyNumberFormat="1" applyFont="1" applyFill="1" applyBorder="1"/>
    <xf numFmtId="9" fontId="10" fillId="11" borderId="9" xfId="2" applyNumberFormat="1" applyFont="1" applyFill="1" applyBorder="1" applyAlignment="1">
      <alignment horizontal="center"/>
    </xf>
    <xf numFmtId="9" fontId="10" fillId="11" borderId="11" xfId="2" applyNumberFormat="1" applyFont="1" applyFill="1" applyBorder="1" applyAlignment="1">
      <alignment horizontal="center"/>
    </xf>
    <xf numFmtId="0" fontId="25" fillId="18" borderId="157" xfId="0" applyFont="1" applyFill="1" applyBorder="1" applyAlignment="1">
      <alignment horizontal="center" vertical="center"/>
    </xf>
    <xf numFmtId="0" fontId="0" fillId="44" borderId="61" xfId="0" applyFont="1" applyFill="1" applyBorder="1" applyAlignment="1"/>
    <xf numFmtId="0" fontId="0" fillId="44" borderId="63" xfId="0" applyFont="1" applyFill="1" applyBorder="1" applyAlignment="1"/>
    <xf numFmtId="0" fontId="0" fillId="44" borderId="56" xfId="0" applyFont="1" applyFill="1" applyBorder="1" applyAlignment="1"/>
    <xf numFmtId="0" fontId="0" fillId="44" borderId="77" xfId="0" applyFont="1" applyFill="1" applyBorder="1" applyAlignment="1"/>
    <xf numFmtId="0" fontId="0" fillId="44" borderId="62" xfId="0" applyFont="1" applyFill="1" applyBorder="1" applyAlignment="1"/>
    <xf numFmtId="0" fontId="0" fillId="44" borderId="79" xfId="0" applyFont="1" applyFill="1" applyBorder="1" applyAlignment="1"/>
    <xf numFmtId="0" fontId="0" fillId="44" borderId="20" xfId="0" applyFont="1" applyFill="1" applyBorder="1" applyAlignment="1"/>
    <xf numFmtId="0" fontId="0" fillId="44" borderId="19" xfId="0" applyFont="1" applyFill="1" applyBorder="1" applyAlignment="1"/>
    <xf numFmtId="0" fontId="26" fillId="45" borderId="92" xfId="0" applyFont="1" applyFill="1" applyBorder="1" applyAlignment="1">
      <alignment vertical="center"/>
    </xf>
    <xf numFmtId="0" fontId="26" fillId="45" borderId="91" xfId="0" applyFont="1" applyFill="1" applyBorder="1" applyAlignment="1">
      <alignment vertical="center"/>
    </xf>
    <xf numFmtId="0" fontId="2" fillId="5" borderId="18" xfId="0" applyFont="1" applyFill="1" applyBorder="1" applyAlignment="1"/>
    <xf numFmtId="0" fontId="0" fillId="0" borderId="0" xfId="0" applyFill="1" applyBorder="1" applyAlignment="1"/>
    <xf numFmtId="0" fontId="32" fillId="0" borderId="0" xfId="0" applyFont="1" applyFill="1" applyBorder="1" applyAlignment="1">
      <alignment horizontal="left" vertical="center" wrapText="1"/>
    </xf>
    <xf numFmtId="165" fontId="0" fillId="3" borderId="2" xfId="0" applyNumberFormat="1" applyFill="1" applyBorder="1" applyAlignment="1">
      <alignment horizontal="center"/>
    </xf>
    <xf numFmtId="165" fontId="0" fillId="3" borderId="27" xfId="0" applyNumberFormat="1" applyFill="1" applyBorder="1" applyAlignment="1">
      <alignment horizontal="center"/>
    </xf>
    <xf numFmtId="0" fontId="0" fillId="2" borderId="35" xfId="0" applyFill="1" applyBorder="1" applyAlignment="1">
      <alignment horizontal="center"/>
    </xf>
    <xf numFmtId="0" fontId="0" fillId="2" borderId="31" xfId="0" applyFill="1" applyBorder="1" applyAlignment="1">
      <alignment horizontal="center"/>
    </xf>
    <xf numFmtId="0" fontId="0" fillId="2" borderId="22" xfId="0" applyFill="1" applyBorder="1" applyAlignment="1">
      <alignment horizontal="center"/>
    </xf>
    <xf numFmtId="0" fontId="0" fillId="2" borderId="2" xfId="0" applyFill="1" applyBorder="1" applyAlignment="1">
      <alignment horizontal="center"/>
    </xf>
    <xf numFmtId="0" fontId="0" fillId="2" borderId="27" xfId="0" applyFill="1" applyBorder="1" applyAlignment="1">
      <alignment horizontal="center"/>
    </xf>
    <xf numFmtId="173" fontId="0" fillId="2" borderId="27" xfId="0" applyNumberFormat="1" applyFill="1" applyBorder="1" applyAlignment="1">
      <alignment horizontal="center"/>
    </xf>
    <xf numFmtId="173" fontId="0" fillId="2" borderId="13" xfId="0" applyNumberFormat="1" applyFill="1" applyBorder="1" applyAlignment="1">
      <alignment horizontal="center"/>
    </xf>
    <xf numFmtId="0" fontId="0" fillId="13" borderId="35" xfId="0" applyFill="1" applyBorder="1" applyAlignment="1">
      <alignment horizontal="center"/>
    </xf>
    <xf numFmtId="173" fontId="0" fillId="13" borderId="31" xfId="0" applyNumberFormat="1" applyFill="1" applyBorder="1" applyAlignment="1">
      <alignment horizontal="center"/>
    </xf>
    <xf numFmtId="9" fontId="0" fillId="13" borderId="31" xfId="0" applyNumberFormat="1" applyFill="1" applyBorder="1" applyAlignment="1">
      <alignment horizontal="center"/>
    </xf>
    <xf numFmtId="9" fontId="0" fillId="13" borderId="22" xfId="0" applyNumberFormat="1" applyFill="1" applyBorder="1" applyAlignment="1">
      <alignment horizontal="center"/>
    </xf>
    <xf numFmtId="0" fontId="0" fillId="3" borderId="61" xfId="0" applyFont="1" applyFill="1" applyBorder="1"/>
    <xf numFmtId="0" fontId="0" fillId="3" borderId="56" xfId="0" applyFont="1" applyFill="1" applyBorder="1"/>
    <xf numFmtId="0" fontId="0" fillId="3" borderId="62" xfId="0" applyFont="1" applyFill="1" applyBorder="1"/>
    <xf numFmtId="0" fontId="11" fillId="0" borderId="0" xfId="0" applyFont="1" applyFill="1" applyBorder="1" applyAlignment="1">
      <alignment horizontal="center"/>
    </xf>
    <xf numFmtId="0" fontId="4" fillId="0" borderId="0" xfId="0" applyFont="1" applyFill="1" applyBorder="1" applyAlignment="1">
      <alignment horizontal="left"/>
    </xf>
    <xf numFmtId="0" fontId="30" fillId="0" borderId="0" xfId="0" applyFont="1" applyFill="1" applyBorder="1" applyAlignment="1">
      <alignment horizontal="right"/>
    </xf>
    <xf numFmtId="0" fontId="30" fillId="0" borderId="0" xfId="0" applyFont="1" applyFill="1" applyBorder="1" applyAlignment="1">
      <alignment horizontal="left"/>
    </xf>
    <xf numFmtId="0" fontId="11" fillId="0" borderId="0" xfId="0" applyFont="1" applyFill="1" applyBorder="1" applyAlignment="1">
      <alignment horizontal="center" vertical="center" wrapText="1"/>
    </xf>
    <xf numFmtId="0" fontId="0" fillId="0" borderId="0" xfId="0" applyFont="1" applyFill="1" applyBorder="1" applyAlignment="1">
      <alignment horizontal="left"/>
    </xf>
    <xf numFmtId="0" fontId="11" fillId="0" borderId="0" xfId="0" applyFont="1" applyAlignment="1">
      <alignment horizontal="center"/>
    </xf>
    <xf numFmtId="0" fontId="0" fillId="5" borderId="0" xfId="0" applyFont="1" applyFill="1" applyBorder="1" applyAlignment="1">
      <alignment horizontal="center"/>
    </xf>
    <xf numFmtId="170" fontId="10" fillId="2" borderId="49" xfId="1" applyNumberFormat="1" applyFont="1" applyFill="1" applyBorder="1"/>
    <xf numFmtId="178" fontId="10" fillId="28" borderId="1" xfId="0" applyNumberFormat="1" applyFont="1" applyFill="1" applyBorder="1" applyAlignment="1">
      <alignment horizontal="center"/>
    </xf>
    <xf numFmtId="178" fontId="10" fillId="28" borderId="10" xfId="0" applyNumberFormat="1" applyFont="1" applyFill="1" applyBorder="1" applyAlignment="1">
      <alignment horizontal="center"/>
    </xf>
    <xf numFmtId="175" fontId="10" fillId="28" borderId="5" xfId="0" applyNumberFormat="1" applyFont="1" applyFill="1" applyBorder="1" applyAlignment="1">
      <alignment horizontal="center"/>
    </xf>
    <xf numFmtId="175" fontId="10" fillId="28" borderId="1" xfId="0" applyNumberFormat="1" applyFont="1" applyFill="1" applyBorder="1" applyAlignment="1">
      <alignment horizontal="center"/>
    </xf>
    <xf numFmtId="175" fontId="10" fillId="28" borderId="10" xfId="0" applyNumberFormat="1" applyFont="1" applyFill="1" applyBorder="1" applyAlignment="1">
      <alignment horizontal="center"/>
    </xf>
    <xf numFmtId="0" fontId="5" fillId="3" borderId="6" xfId="0" applyFont="1" applyFill="1" applyBorder="1" applyAlignment="1">
      <alignment horizontal="center"/>
    </xf>
    <xf numFmtId="15" fontId="5" fillId="3" borderId="11" xfId="0" applyNumberFormat="1" applyFont="1" applyFill="1" applyBorder="1" applyAlignment="1">
      <alignment horizontal="center"/>
    </xf>
    <xf numFmtId="180" fontId="10" fillId="3" borderId="46" xfId="0" applyNumberFormat="1" applyFont="1" applyFill="1" applyBorder="1" applyAlignment="1">
      <alignment horizontal="center"/>
    </xf>
    <xf numFmtId="180" fontId="10" fillId="2" borderId="60" xfId="0" applyNumberFormat="1" applyFont="1" applyFill="1" applyBorder="1" applyAlignment="1">
      <alignment horizontal="center"/>
    </xf>
    <xf numFmtId="0" fontId="2" fillId="2" borderId="160" xfId="0" quotePrefix="1" applyFont="1" applyFill="1" applyBorder="1" applyAlignment="1">
      <alignment vertical="center"/>
    </xf>
    <xf numFmtId="0" fontId="2" fillId="2" borderId="0" xfId="0" quotePrefix="1" applyFont="1" applyFill="1" applyBorder="1" applyAlignment="1">
      <alignment vertical="center"/>
    </xf>
    <xf numFmtId="0" fontId="2" fillId="2" borderId="81" xfId="0" quotePrefix="1" applyFont="1" applyFill="1" applyBorder="1" applyAlignment="1">
      <alignment vertical="center"/>
    </xf>
    <xf numFmtId="166" fontId="0" fillId="2" borderId="77" xfId="0" applyNumberFormat="1" applyFont="1" applyFill="1" applyBorder="1"/>
    <xf numFmtId="166" fontId="0" fillId="2" borderId="82" xfId="0" applyNumberFormat="1" applyFont="1" applyFill="1" applyBorder="1"/>
    <xf numFmtId="166" fontId="0" fillId="2" borderId="59" xfId="0" applyNumberFormat="1" applyFont="1" applyFill="1" applyBorder="1"/>
    <xf numFmtId="166" fontId="0" fillId="2" borderId="79" xfId="0" applyNumberFormat="1" applyFont="1" applyFill="1" applyBorder="1"/>
    <xf numFmtId="166" fontId="2" fillId="2" borderId="20" xfId="0" applyNumberFormat="1" applyFont="1" applyFill="1" applyBorder="1"/>
    <xf numFmtId="166" fontId="2" fillId="29" borderId="20" xfId="0" applyNumberFormat="1" applyFont="1" applyFill="1" applyBorder="1"/>
    <xf numFmtId="166" fontId="2" fillId="2" borderId="156" xfId="0" applyNumberFormat="1" applyFont="1" applyFill="1" applyBorder="1"/>
    <xf numFmtId="168" fontId="0" fillId="13" borderId="25" xfId="0" applyNumberFormat="1" applyFont="1" applyFill="1" applyBorder="1" applyAlignment="1">
      <alignment horizontal="center"/>
    </xf>
    <xf numFmtId="170" fontId="0" fillId="13" borderId="8" xfId="1" applyNumberFormat="1" applyFont="1" applyFill="1" applyBorder="1"/>
    <xf numFmtId="0" fontId="0" fillId="3" borderId="81" xfId="0" applyFont="1" applyFill="1" applyBorder="1"/>
    <xf numFmtId="0" fontId="0" fillId="2" borderId="1" xfId="0" applyFont="1" applyFill="1" applyBorder="1" applyAlignment="1">
      <alignment horizontal="center"/>
    </xf>
    <xf numFmtId="168" fontId="0" fillId="11" borderId="1" xfId="0" applyNumberFormat="1" applyFont="1" applyFill="1" applyBorder="1"/>
    <xf numFmtId="168" fontId="0" fillId="6" borderId="160" xfId="0" applyNumberFormat="1" applyFont="1" applyFill="1" applyBorder="1"/>
    <xf numFmtId="0" fontId="0" fillId="3" borderId="22" xfId="0" applyFont="1" applyFill="1" applyBorder="1" applyAlignment="1">
      <alignment horizontal="center"/>
    </xf>
    <xf numFmtId="0" fontId="0" fillId="3" borderId="33" xfId="0" applyFont="1" applyFill="1" applyBorder="1" applyAlignment="1">
      <alignment horizontal="center"/>
    </xf>
    <xf numFmtId="0" fontId="0" fillId="5" borderId="60" xfId="0" applyFont="1" applyFill="1" applyBorder="1" applyAlignment="1">
      <alignment horizontal="center"/>
    </xf>
    <xf numFmtId="0" fontId="0" fillId="3" borderId="8" xfId="0" applyFont="1" applyFill="1" applyBorder="1" applyAlignment="1">
      <alignment horizontal="center"/>
    </xf>
    <xf numFmtId="0" fontId="2" fillId="5" borderId="100" xfId="0" applyFont="1" applyFill="1" applyBorder="1"/>
    <xf numFmtId="0" fontId="0" fillId="5" borderId="61" xfId="0" applyFont="1" applyFill="1" applyBorder="1" applyAlignment="1">
      <alignment horizontal="center"/>
    </xf>
    <xf numFmtId="168" fontId="0" fillId="5" borderId="61" xfId="0" applyNumberFormat="1" applyFont="1" applyFill="1" applyBorder="1"/>
    <xf numFmtId="0" fontId="0" fillId="5" borderId="63" xfId="0" applyFont="1" applyFill="1" applyBorder="1"/>
    <xf numFmtId="0" fontId="2" fillId="5" borderId="31" xfId="0" applyFont="1" applyFill="1" applyBorder="1"/>
    <xf numFmtId="0" fontId="0" fillId="5" borderId="56" xfId="0" applyFont="1" applyFill="1" applyBorder="1" applyAlignment="1">
      <alignment horizontal="center"/>
    </xf>
    <xf numFmtId="168" fontId="0" fillId="5" borderId="25" xfId="0" applyNumberFormat="1" applyFont="1" applyFill="1" applyBorder="1"/>
    <xf numFmtId="0" fontId="2" fillId="5" borderId="22" xfId="0" applyFont="1" applyFill="1" applyBorder="1"/>
    <xf numFmtId="0" fontId="0" fillId="13" borderId="52" xfId="0" applyFont="1" applyFill="1" applyBorder="1"/>
    <xf numFmtId="170" fontId="0" fillId="13" borderId="63" xfId="0" applyNumberFormat="1" applyFont="1" applyFill="1" applyBorder="1"/>
    <xf numFmtId="0" fontId="0" fillId="13" borderId="53" xfId="0" applyFont="1" applyFill="1" applyBorder="1"/>
    <xf numFmtId="170" fontId="0" fillId="13" borderId="77" xfId="1" applyNumberFormat="1" applyFont="1" applyFill="1" applyBorder="1"/>
    <xf numFmtId="0" fontId="2" fillId="2" borderId="54" xfId="0" applyFont="1" applyFill="1" applyBorder="1"/>
    <xf numFmtId="0" fontId="0" fillId="6" borderId="58" xfId="0" applyFont="1" applyFill="1" applyBorder="1"/>
    <xf numFmtId="168" fontId="0" fillId="11" borderId="10" xfId="0" applyNumberFormat="1" applyFont="1" applyFill="1" applyBorder="1"/>
    <xf numFmtId="0" fontId="0" fillId="3" borderId="11" xfId="0" applyFont="1" applyFill="1" applyBorder="1" applyAlignment="1">
      <alignment horizontal="center"/>
    </xf>
    <xf numFmtId="168" fontId="2" fillId="2" borderId="187" xfId="1" applyFont="1" applyFill="1" applyBorder="1"/>
    <xf numFmtId="170" fontId="2" fillId="2" borderId="140" xfId="1" applyNumberFormat="1" applyFont="1" applyFill="1" applyBorder="1"/>
    <xf numFmtId="168" fontId="0" fillId="13" borderId="43" xfId="0" applyNumberFormat="1" applyFont="1" applyFill="1" applyBorder="1"/>
    <xf numFmtId="170" fontId="0" fillId="13" borderId="11" xfId="1" applyNumberFormat="1" applyFont="1" applyFill="1" applyBorder="1"/>
    <xf numFmtId="168" fontId="0" fillId="3" borderId="63" xfId="0" applyNumberFormat="1" applyFont="1" applyFill="1" applyBorder="1"/>
    <xf numFmtId="168" fontId="0" fillId="3" borderId="77" xfId="0" applyNumberFormat="1" applyFont="1" applyFill="1" applyBorder="1"/>
    <xf numFmtId="168" fontId="0" fillId="3" borderId="79" xfId="0" applyNumberFormat="1" applyFont="1" applyFill="1" applyBorder="1"/>
    <xf numFmtId="9" fontId="10" fillId="3" borderId="12" xfId="2" applyNumberFormat="1" applyFont="1" applyFill="1" applyBorder="1" applyAlignment="1">
      <alignment horizontal="center"/>
    </xf>
    <xf numFmtId="9" fontId="10" fillId="3" borderId="7" xfId="2" applyNumberFormat="1" applyFont="1" applyFill="1" applyBorder="1" applyAlignment="1">
      <alignment horizontal="center"/>
    </xf>
    <xf numFmtId="9" fontId="7" fillId="3" borderId="7" xfId="2" applyNumberFormat="1" applyFont="1" applyFill="1" applyBorder="1" applyAlignment="1">
      <alignment horizontal="center"/>
    </xf>
    <xf numFmtId="9" fontId="7" fillId="3" borderId="1" xfId="2" applyNumberFormat="1" applyFont="1" applyFill="1" applyBorder="1" applyAlignment="1">
      <alignment horizontal="center"/>
    </xf>
    <xf numFmtId="9" fontId="7" fillId="3" borderId="9" xfId="2" applyNumberFormat="1" applyFont="1" applyFill="1" applyBorder="1" applyAlignment="1">
      <alignment horizontal="center"/>
    </xf>
    <xf numFmtId="9" fontId="7" fillId="3" borderId="10" xfId="2" applyNumberFormat="1" applyFont="1" applyFill="1" applyBorder="1" applyAlignment="1">
      <alignment horizontal="center"/>
    </xf>
    <xf numFmtId="9" fontId="21" fillId="10" borderId="183" xfId="0" applyNumberFormat="1" applyFont="1" applyFill="1" applyBorder="1" applyAlignment="1">
      <alignment horizontal="center"/>
    </xf>
    <xf numFmtId="9" fontId="21" fillId="10" borderId="184" xfId="0" applyNumberFormat="1" applyFont="1" applyFill="1" applyBorder="1" applyAlignment="1">
      <alignment horizontal="center"/>
    </xf>
    <xf numFmtId="9" fontId="21" fillId="10" borderId="185" xfId="0" applyNumberFormat="1" applyFont="1" applyFill="1" applyBorder="1" applyAlignment="1">
      <alignment horizontal="center"/>
    </xf>
    <xf numFmtId="49" fontId="2" fillId="0" borderId="0" xfId="0" applyNumberFormat="1" applyFont="1" applyFill="1" applyBorder="1" applyAlignment="1">
      <alignment horizontal="center" wrapText="1"/>
    </xf>
    <xf numFmtId="0" fontId="8" fillId="2" borderId="45" xfId="0" applyFont="1" applyFill="1" applyBorder="1" applyAlignment="1">
      <alignment horizontal="center" wrapText="1"/>
    </xf>
    <xf numFmtId="0" fontId="8" fillId="2" borderId="38" xfId="0" applyFont="1" applyFill="1" applyBorder="1" applyAlignment="1">
      <alignment horizontal="center" wrapText="1"/>
    </xf>
    <xf numFmtId="0" fontId="8" fillId="2" borderId="32" xfId="0" applyFont="1" applyFill="1" applyBorder="1" applyAlignment="1">
      <alignment horizontal="center" wrapText="1"/>
    </xf>
    <xf numFmtId="173" fontId="0" fillId="31" borderId="1" xfId="0" applyNumberFormat="1" applyFill="1" applyBorder="1" applyAlignment="1">
      <alignment horizontal="center" vertical="center"/>
    </xf>
    <xf numFmtId="173" fontId="0" fillId="39" borderId="1" xfId="2" applyNumberFormat="1" applyFont="1" applyFill="1" applyBorder="1" applyAlignment="1">
      <alignment horizontal="center" vertical="center"/>
    </xf>
    <xf numFmtId="173" fontId="0" fillId="16" borderId="1" xfId="0" applyNumberFormat="1" applyFill="1" applyBorder="1" applyAlignment="1">
      <alignment horizontal="center" vertical="center"/>
    </xf>
    <xf numFmtId="173" fontId="0" fillId="41" borderId="1" xfId="0" applyNumberFormat="1" applyFill="1" applyBorder="1" applyAlignment="1">
      <alignment horizontal="center" vertical="center"/>
    </xf>
    <xf numFmtId="173" fontId="0" fillId="35" borderId="1" xfId="2" applyNumberFormat="1" applyFont="1" applyFill="1" applyBorder="1" applyAlignment="1">
      <alignment horizontal="center" vertical="center"/>
    </xf>
    <xf numFmtId="166" fontId="10" fillId="13" borderId="5" xfId="0" applyNumberFormat="1" applyFont="1" applyFill="1" applyBorder="1" applyAlignment="1">
      <alignment horizontal="right"/>
    </xf>
    <xf numFmtId="166" fontId="10" fillId="2" borderId="6" xfId="0" applyNumberFormat="1" applyFont="1" applyFill="1" applyBorder="1" applyAlignment="1">
      <alignment horizontal="right"/>
    </xf>
    <xf numFmtId="166" fontId="10" fillId="13" borderId="1" xfId="0" applyNumberFormat="1" applyFont="1" applyFill="1" applyBorder="1" applyAlignment="1">
      <alignment horizontal="right"/>
    </xf>
    <xf numFmtId="166" fontId="10" fillId="2" borderId="8" xfId="0" applyNumberFormat="1" applyFont="1" applyFill="1" applyBorder="1" applyAlignment="1">
      <alignment horizontal="right"/>
    </xf>
    <xf numFmtId="166" fontId="10" fillId="13" borderId="10" xfId="0" applyNumberFormat="1" applyFont="1" applyFill="1" applyBorder="1" applyAlignment="1">
      <alignment horizontal="right"/>
    </xf>
    <xf numFmtId="166" fontId="10" fillId="2" borderId="11" xfId="0" applyNumberFormat="1" applyFont="1" applyFill="1" applyBorder="1" applyAlignment="1">
      <alignment horizontal="right"/>
    </xf>
    <xf numFmtId="166" fontId="0" fillId="2" borderId="12" xfId="1" applyNumberFormat="1" applyFont="1" applyFill="1" applyBorder="1" applyAlignment="1">
      <alignment horizontal="right"/>
    </xf>
    <xf numFmtId="0" fontId="8" fillId="2" borderId="15" xfId="0" applyFont="1" applyFill="1" applyBorder="1" applyAlignment="1">
      <alignment horizontal="center" wrapText="1"/>
    </xf>
    <xf numFmtId="0" fontId="8" fillId="2" borderId="16" xfId="0" applyFont="1" applyFill="1" applyBorder="1" applyAlignment="1">
      <alignment horizontal="center" wrapText="1"/>
    </xf>
    <xf numFmtId="0" fontId="0" fillId="0" borderId="0" xfId="0" applyAlignment="1">
      <alignment vertical="center"/>
    </xf>
    <xf numFmtId="168" fontId="10" fillId="2" borderId="67" xfId="1" applyNumberFormat="1" applyFont="1" applyFill="1" applyBorder="1" applyAlignment="1">
      <alignment horizontal="left"/>
    </xf>
    <xf numFmtId="2" fontId="0" fillId="0" borderId="0" xfId="0" applyNumberFormat="1" applyAlignment="1">
      <alignment vertical="center"/>
    </xf>
    <xf numFmtId="177" fontId="2" fillId="0" borderId="0" xfId="0" applyNumberFormat="1" applyFont="1" applyAlignment="1">
      <alignment horizontal="right"/>
    </xf>
    <xf numFmtId="2" fontId="0" fillId="0" borderId="0" xfId="0" applyNumberFormat="1"/>
    <xf numFmtId="168" fontId="0" fillId="2" borderId="5" xfId="0" applyNumberFormat="1" applyFill="1" applyBorder="1" applyAlignment="1">
      <alignment vertical="center"/>
    </xf>
    <xf numFmtId="9" fontId="10" fillId="3" borderId="4" xfId="0" applyNumberFormat="1" applyFont="1" applyFill="1" applyBorder="1" applyAlignment="1">
      <alignment horizontal="center" wrapText="1"/>
    </xf>
    <xf numFmtId="9" fontId="10" fillId="3" borderId="5" xfId="0" applyNumberFormat="1" applyFont="1" applyFill="1" applyBorder="1" applyAlignment="1">
      <alignment horizontal="center" wrapText="1"/>
    </xf>
    <xf numFmtId="9" fontId="1" fillId="11" borderId="13" xfId="2" applyNumberFormat="1" applyFont="1" applyFill="1" applyBorder="1" applyAlignment="1">
      <alignment horizontal="center"/>
    </xf>
    <xf numFmtId="9" fontId="1" fillId="11" borderId="22" xfId="2" applyNumberFormat="1" applyFont="1" applyFill="1" applyBorder="1" applyAlignment="1">
      <alignment horizontal="center"/>
    </xf>
    <xf numFmtId="9" fontId="1" fillId="3" borderId="13" xfId="2" applyNumberFormat="1" applyFont="1" applyFill="1" applyBorder="1" applyAlignment="1">
      <alignment horizontal="center"/>
    </xf>
    <xf numFmtId="9" fontId="1" fillId="11" borderId="1" xfId="2" applyNumberFormat="1" applyFont="1" applyFill="1" applyBorder="1" applyAlignment="1">
      <alignment horizontal="center"/>
    </xf>
    <xf numFmtId="9" fontId="1" fillId="11" borderId="23" xfId="2" applyNumberFormat="1" applyFont="1" applyFill="1" applyBorder="1" applyAlignment="1">
      <alignment horizontal="center"/>
    </xf>
    <xf numFmtId="9" fontId="1" fillId="3" borderId="1" xfId="2" applyNumberFormat="1" applyFont="1" applyFill="1" applyBorder="1" applyAlignment="1">
      <alignment horizontal="center"/>
    </xf>
    <xf numFmtId="9" fontId="1" fillId="3" borderId="10" xfId="2" applyNumberFormat="1" applyFont="1" applyFill="1" applyBorder="1" applyAlignment="1">
      <alignment horizontal="center"/>
    </xf>
    <xf numFmtId="9" fontId="1" fillId="11" borderId="10" xfId="2" applyNumberFormat="1" applyFont="1" applyFill="1" applyBorder="1" applyAlignment="1">
      <alignment horizontal="center"/>
    </xf>
    <xf numFmtId="9" fontId="1" fillId="11" borderId="24" xfId="2" applyNumberFormat="1" applyFont="1" applyFill="1" applyBorder="1" applyAlignment="1">
      <alignment horizontal="center"/>
    </xf>
    <xf numFmtId="9" fontId="10" fillId="3" borderId="25" xfId="1" applyNumberFormat="1" applyFont="1" applyFill="1" applyBorder="1" applyAlignment="1">
      <alignment horizontal="center"/>
    </xf>
    <xf numFmtId="9" fontId="10" fillId="3" borderId="1" xfId="1" applyNumberFormat="1" applyFont="1" applyFill="1" applyBorder="1" applyAlignment="1">
      <alignment horizontal="center"/>
    </xf>
    <xf numFmtId="9" fontId="10" fillId="3" borderId="67" xfId="1" applyNumberFormat="1" applyFont="1" applyFill="1" applyBorder="1" applyAlignment="1">
      <alignment horizontal="center"/>
    </xf>
    <xf numFmtId="9" fontId="10" fillId="3" borderId="13" xfId="1" applyNumberFormat="1" applyFont="1" applyFill="1" applyBorder="1" applyAlignment="1">
      <alignment horizontal="center"/>
    </xf>
    <xf numFmtId="9" fontId="10" fillId="3" borderId="26" xfId="1" applyNumberFormat="1" applyFont="1" applyFill="1" applyBorder="1" applyAlignment="1">
      <alignment horizontal="center"/>
    </xf>
    <xf numFmtId="9" fontId="10" fillId="3" borderId="10" xfId="1" applyNumberFormat="1" applyFont="1" applyFill="1" applyBorder="1" applyAlignment="1">
      <alignment horizontal="center"/>
    </xf>
    <xf numFmtId="178" fontId="10" fillId="0" borderId="0" xfId="0" applyNumberFormat="1" applyFont="1" applyFill="1" applyBorder="1" applyAlignment="1">
      <alignment horizontal="right"/>
    </xf>
    <xf numFmtId="178" fontId="10" fillId="0" borderId="0" xfId="0" applyNumberFormat="1" applyFont="1" applyFill="1" applyBorder="1"/>
    <xf numFmtId="178" fontId="10" fillId="0" borderId="58" xfId="0" applyNumberFormat="1" applyFont="1" applyFill="1" applyBorder="1"/>
    <xf numFmtId="172" fontId="10" fillId="0" borderId="0" xfId="0" applyNumberFormat="1" applyFont="1" applyFill="1" applyBorder="1" applyAlignment="1">
      <alignment horizontal="right"/>
    </xf>
    <xf numFmtId="172" fontId="10" fillId="0" borderId="0" xfId="0" applyNumberFormat="1" applyFont="1" applyFill="1" applyBorder="1"/>
    <xf numFmtId="172" fontId="10" fillId="0" borderId="58" xfId="0" applyNumberFormat="1" applyFont="1" applyFill="1" applyBorder="1"/>
    <xf numFmtId="9" fontId="10" fillId="0" borderId="0" xfId="0" applyNumberFormat="1" applyFont="1" applyAlignment="1">
      <alignment horizontal="center"/>
    </xf>
    <xf numFmtId="9" fontId="10" fillId="0" borderId="0" xfId="0" applyNumberFormat="1" applyFont="1" applyBorder="1" applyAlignment="1">
      <alignment horizontal="center"/>
    </xf>
    <xf numFmtId="9" fontId="10" fillId="0" borderId="58" xfId="0" applyNumberFormat="1" applyFont="1" applyBorder="1" applyAlignment="1">
      <alignment horizontal="center"/>
    </xf>
    <xf numFmtId="168" fontId="0" fillId="3" borderId="13" xfId="0" applyNumberFormat="1" applyFill="1" applyBorder="1" applyAlignment="1">
      <alignment horizontal="center"/>
    </xf>
    <xf numFmtId="168" fontId="0" fillId="3" borderId="1" xfId="0" applyNumberFormat="1" applyFill="1" applyBorder="1" applyAlignment="1">
      <alignment horizontal="center"/>
    </xf>
    <xf numFmtId="168" fontId="0" fillId="3" borderId="10" xfId="0" applyNumberFormat="1" applyFill="1" applyBorder="1" applyAlignment="1">
      <alignment horizontal="center"/>
    </xf>
    <xf numFmtId="168" fontId="0" fillId="0" borderId="0" xfId="0" applyNumberFormat="1" applyAlignment="1">
      <alignment horizontal="center"/>
    </xf>
    <xf numFmtId="168" fontId="0" fillId="0" borderId="58" xfId="0" applyNumberFormat="1" applyBorder="1" applyAlignment="1">
      <alignment horizontal="center"/>
    </xf>
    <xf numFmtId="9" fontId="10" fillId="3" borderId="22" xfId="2" applyNumberFormat="1" applyFont="1" applyFill="1" applyBorder="1" applyAlignment="1">
      <alignment horizontal="center"/>
    </xf>
    <xf numFmtId="9" fontId="10" fillId="11" borderId="22" xfId="2" applyNumberFormat="1" applyFont="1" applyFill="1" applyBorder="1" applyAlignment="1">
      <alignment horizontal="center"/>
    </xf>
    <xf numFmtId="9" fontId="10" fillId="11" borderId="1" xfId="1" applyNumberFormat="1" applyFont="1" applyFill="1" applyBorder="1" applyAlignment="1">
      <alignment horizontal="center"/>
    </xf>
    <xf numFmtId="9" fontId="10" fillId="11" borderId="23" xfId="1" applyNumberFormat="1" applyFont="1" applyFill="1" applyBorder="1" applyAlignment="1">
      <alignment horizontal="center"/>
    </xf>
    <xf numFmtId="9" fontId="10" fillId="11" borderId="13" xfId="1" applyNumberFormat="1" applyFont="1" applyFill="1" applyBorder="1" applyAlignment="1">
      <alignment horizontal="center"/>
    </xf>
    <xf numFmtId="9" fontId="10" fillId="11" borderId="22" xfId="1" applyNumberFormat="1" applyFont="1" applyFill="1" applyBorder="1" applyAlignment="1">
      <alignment horizontal="center"/>
    </xf>
    <xf numFmtId="9" fontId="10" fillId="11" borderId="10" xfId="1" applyNumberFormat="1" applyFont="1" applyFill="1" applyBorder="1" applyAlignment="1">
      <alignment horizontal="center"/>
    </xf>
    <xf numFmtId="9" fontId="10" fillId="11" borderId="24" xfId="1" applyNumberFormat="1" applyFont="1" applyFill="1" applyBorder="1" applyAlignment="1">
      <alignment horizontal="center"/>
    </xf>
    <xf numFmtId="166" fontId="17" fillId="12" borderId="4" xfId="1" applyNumberFormat="1" applyFont="1" applyFill="1" applyBorder="1"/>
    <xf numFmtId="166" fontId="17" fillId="12" borderId="5" xfId="1" applyNumberFormat="1" applyFont="1" applyFill="1" applyBorder="1"/>
    <xf numFmtId="166" fontId="17" fillId="12" borderId="36" xfId="1" applyNumberFormat="1" applyFont="1" applyFill="1" applyBorder="1"/>
    <xf numFmtId="166" fontId="17" fillId="4" borderId="5" xfId="1" applyNumberFormat="1" applyFont="1" applyFill="1" applyBorder="1"/>
    <xf numFmtId="166" fontId="17" fillId="4" borderId="36" xfId="1" applyNumberFormat="1" applyFont="1" applyFill="1" applyBorder="1"/>
    <xf numFmtId="166" fontId="10" fillId="2" borderId="39" xfId="1" applyNumberFormat="1" applyFont="1" applyFill="1" applyBorder="1"/>
    <xf numFmtId="166" fontId="17" fillId="12" borderId="7" xfId="1" applyNumberFormat="1" applyFont="1" applyFill="1" applyBorder="1"/>
    <xf numFmtId="166" fontId="17" fillId="12" borderId="1" xfId="1" applyNumberFormat="1" applyFont="1" applyFill="1" applyBorder="1" applyAlignment="1">
      <alignment horizontal="center" vertical="center"/>
    </xf>
    <xf numFmtId="166" fontId="17" fillId="12" borderId="23" xfId="1" applyNumberFormat="1" applyFont="1" applyFill="1" applyBorder="1"/>
    <xf numFmtId="166" fontId="17" fillId="4" borderId="1" xfId="1" applyNumberFormat="1" applyFont="1" applyFill="1" applyBorder="1"/>
    <xf numFmtId="166" fontId="17" fillId="4" borderId="23" xfId="1" applyNumberFormat="1" applyFont="1" applyFill="1" applyBorder="1"/>
    <xf numFmtId="166" fontId="10" fillId="2" borderId="40" xfId="1" applyNumberFormat="1" applyFont="1" applyFill="1" applyBorder="1"/>
    <xf numFmtId="166" fontId="17" fillId="12" borderId="1" xfId="1" applyNumberFormat="1" applyFont="1" applyFill="1" applyBorder="1"/>
    <xf numFmtId="166" fontId="10" fillId="11" borderId="7" xfId="1" applyNumberFormat="1" applyFont="1" applyFill="1" applyBorder="1"/>
    <xf numFmtId="166" fontId="10" fillId="11" borderId="23" xfId="1" applyNumberFormat="1" applyFont="1" applyFill="1" applyBorder="1"/>
    <xf numFmtId="166" fontId="10" fillId="3" borderId="23" xfId="1" applyNumberFormat="1" applyFont="1" applyFill="1" applyBorder="1"/>
    <xf numFmtId="166" fontId="10" fillId="11" borderId="9" xfId="1" applyNumberFormat="1" applyFont="1" applyFill="1" applyBorder="1"/>
    <xf numFmtId="166" fontId="10" fillId="11" borderId="24" xfId="1" applyNumberFormat="1" applyFont="1" applyFill="1" applyBorder="1"/>
    <xf numFmtId="166" fontId="10" fillId="3" borderId="2" xfId="1" applyNumberFormat="1" applyFont="1" applyFill="1" applyBorder="1"/>
    <xf numFmtId="166" fontId="10" fillId="3" borderId="35" xfId="1" applyNumberFormat="1" applyFont="1" applyFill="1" applyBorder="1"/>
    <xf numFmtId="166" fontId="10" fillId="2" borderId="42" xfId="1" applyNumberFormat="1" applyFont="1" applyFill="1" applyBorder="1"/>
    <xf numFmtId="166" fontId="8" fillId="2" borderId="64" xfId="1" applyNumberFormat="1" applyFont="1" applyFill="1" applyBorder="1" applyAlignment="1">
      <alignment horizontal="right"/>
    </xf>
    <xf numFmtId="166" fontId="8" fillId="2" borderId="65" xfId="1" applyNumberFormat="1" applyFont="1" applyFill="1" applyBorder="1" applyAlignment="1">
      <alignment horizontal="right"/>
    </xf>
    <xf numFmtId="166" fontId="8" fillId="2" borderId="66" xfId="1" applyNumberFormat="1" applyFont="1" applyFill="1" applyBorder="1" applyAlignment="1">
      <alignment horizontal="right"/>
    </xf>
    <xf numFmtId="166" fontId="8" fillId="2" borderId="69" xfId="1" applyNumberFormat="1" applyFont="1" applyFill="1" applyBorder="1" applyAlignment="1">
      <alignment horizontal="right"/>
    </xf>
    <xf numFmtId="166" fontId="8" fillId="2" borderId="68" xfId="1" applyNumberFormat="1" applyFont="1" applyFill="1" applyBorder="1" applyAlignment="1">
      <alignment horizontal="right"/>
    </xf>
    <xf numFmtId="166" fontId="24" fillId="10" borderId="129" xfId="0" applyNumberFormat="1" applyFont="1" applyFill="1" applyBorder="1"/>
    <xf numFmtId="166" fontId="8" fillId="13" borderId="47" xfId="0" applyNumberFormat="1" applyFont="1" applyFill="1" applyBorder="1" applyAlignment="1">
      <alignment horizontal="right"/>
    </xf>
    <xf numFmtId="166" fontId="8" fillId="13" borderId="48" xfId="0" applyNumberFormat="1" applyFont="1" applyFill="1" applyBorder="1" applyAlignment="1">
      <alignment horizontal="right"/>
    </xf>
    <xf numFmtId="166" fontId="8" fillId="13" borderId="111" xfId="0" applyNumberFormat="1" applyFont="1" applyFill="1" applyBorder="1" applyAlignment="1">
      <alignment horizontal="right"/>
    </xf>
    <xf numFmtId="166" fontId="8" fillId="13" borderId="140" xfId="0" applyNumberFormat="1" applyFont="1" applyFill="1" applyBorder="1" applyAlignment="1">
      <alignment horizontal="right"/>
    </xf>
    <xf numFmtId="0" fontId="10" fillId="3" borderId="4" xfId="0" applyFont="1" applyFill="1" applyBorder="1" applyAlignment="1">
      <alignment wrapText="1"/>
    </xf>
    <xf numFmtId="166" fontId="10" fillId="3" borderId="5" xfId="0" applyNumberFormat="1" applyFont="1" applyFill="1" applyBorder="1" applyAlignment="1">
      <alignment wrapText="1"/>
    </xf>
    <xf numFmtId="166" fontId="0" fillId="11" borderId="22" xfId="0" applyNumberFormat="1" applyFont="1" applyFill="1" applyBorder="1"/>
    <xf numFmtId="166" fontId="0" fillId="11" borderId="13" xfId="0" applyNumberFormat="1" applyFont="1" applyFill="1" applyBorder="1"/>
    <xf numFmtId="166" fontId="0" fillId="9" borderId="39" xfId="0" applyNumberFormat="1" applyFont="1" applyFill="1" applyBorder="1"/>
    <xf numFmtId="166" fontId="0" fillId="7" borderId="25" xfId="0" applyNumberFormat="1" applyFont="1" applyFill="1" applyBorder="1"/>
    <xf numFmtId="166" fontId="0" fillId="7" borderId="1" xfId="0" applyNumberFormat="1" applyFont="1" applyFill="1" applyBorder="1"/>
    <xf numFmtId="166" fontId="0" fillId="7" borderId="23" xfId="0" applyNumberFormat="1" applyFont="1" applyFill="1" applyBorder="1"/>
    <xf numFmtId="166" fontId="0" fillId="11" borderId="23" xfId="0" applyNumberFormat="1" applyFont="1" applyFill="1" applyBorder="1"/>
    <xf numFmtId="166" fontId="0" fillId="11" borderId="1" xfId="0" applyNumberFormat="1" applyFont="1" applyFill="1" applyBorder="1"/>
    <xf numFmtId="166" fontId="0" fillId="9" borderId="40" xfId="0" applyNumberFormat="1" applyFont="1" applyFill="1" applyBorder="1"/>
    <xf numFmtId="166" fontId="0" fillId="7" borderId="26" xfId="0" applyNumberFormat="1" applyFont="1" applyFill="1" applyBorder="1"/>
    <xf numFmtId="166" fontId="0" fillId="7" borderId="10" xfId="0" applyNumberFormat="1" applyFont="1" applyFill="1" applyBorder="1"/>
    <xf numFmtId="166" fontId="0" fillId="7" borderId="24" xfId="0" applyNumberFormat="1" applyFont="1" applyFill="1" applyBorder="1"/>
    <xf numFmtId="166" fontId="0" fillId="11" borderId="24" xfId="0" applyNumberFormat="1" applyFont="1" applyFill="1" applyBorder="1"/>
    <xf numFmtId="166" fontId="0" fillId="11" borderId="10" xfId="0" applyNumberFormat="1" applyFont="1" applyFill="1" applyBorder="1"/>
    <xf numFmtId="166" fontId="0" fillId="9" borderId="41" xfId="0" applyNumberFormat="1" applyFont="1" applyFill="1" applyBorder="1"/>
    <xf numFmtId="166" fontId="2" fillId="2" borderId="64" xfId="0" applyNumberFormat="1" applyFont="1" applyFill="1" applyBorder="1"/>
    <xf numFmtId="166" fontId="2" fillId="2" borderId="65" xfId="0" applyNumberFormat="1" applyFont="1" applyFill="1" applyBorder="1"/>
    <xf numFmtId="166" fontId="2" fillId="2" borderId="66" xfId="0" applyNumberFormat="1" applyFont="1" applyFill="1" applyBorder="1"/>
    <xf numFmtId="166" fontId="2" fillId="13" borderId="66" xfId="0" applyNumberFormat="1" applyFont="1" applyFill="1" applyBorder="1"/>
    <xf numFmtId="166" fontId="2" fillId="9" borderId="101" xfId="0" applyNumberFormat="1" applyFont="1" applyFill="1" applyBorder="1"/>
    <xf numFmtId="166" fontId="46" fillId="27" borderId="135" xfId="0" applyNumberFormat="1" applyFont="1" applyFill="1" applyBorder="1" applyAlignment="1"/>
    <xf numFmtId="166" fontId="46" fillId="27" borderId="136" xfId="0" applyNumberFormat="1" applyFont="1" applyFill="1" applyBorder="1" applyAlignment="1"/>
    <xf numFmtId="166" fontId="46" fillId="27" borderId="137" xfId="0" applyNumberFormat="1" applyFont="1" applyFill="1" applyBorder="1" applyAlignment="1"/>
    <xf numFmtId="166" fontId="0" fillId="28" borderId="153" xfId="0" applyNumberFormat="1" applyFont="1" applyFill="1" applyBorder="1"/>
    <xf numFmtId="166" fontId="0" fillId="28" borderId="150" xfId="0" applyNumberFormat="1" applyFont="1" applyFill="1" applyBorder="1"/>
    <xf numFmtId="166" fontId="0" fillId="28" borderId="151" xfId="0" applyNumberFormat="1" applyFont="1" applyFill="1" applyBorder="1"/>
    <xf numFmtId="166" fontId="0" fillId="28" borderId="152" xfId="0" applyNumberFormat="1" applyFont="1" applyFill="1" applyBorder="1"/>
    <xf numFmtId="0" fontId="2" fillId="2" borderId="3" xfId="0" applyFont="1" applyFill="1" applyBorder="1" applyAlignment="1">
      <alignment horizontal="left" vertical="center"/>
    </xf>
    <xf numFmtId="178" fontId="11" fillId="0" borderId="0" xfId="0" applyNumberFormat="1" applyFont="1" applyFill="1" applyBorder="1" applyAlignment="1">
      <alignment horizontal="center"/>
    </xf>
    <xf numFmtId="178" fontId="10" fillId="3" borderId="5" xfId="0" applyNumberFormat="1" applyFont="1" applyFill="1" applyBorder="1" applyAlignment="1">
      <alignment horizontal="center"/>
    </xf>
    <xf numFmtId="178" fontId="10" fillId="3" borderId="1" xfId="0" applyNumberFormat="1" applyFont="1" applyFill="1" applyBorder="1" applyAlignment="1">
      <alignment horizontal="center"/>
    </xf>
    <xf numFmtId="178" fontId="10" fillId="3" borderId="10" xfId="0" applyNumberFormat="1" applyFont="1" applyFill="1" applyBorder="1" applyAlignment="1">
      <alignment horizontal="center"/>
    </xf>
    <xf numFmtId="178" fontId="0" fillId="0" borderId="0" xfId="0" applyNumberFormat="1" applyFont="1" applyAlignment="1">
      <alignment horizontal="center"/>
    </xf>
    <xf numFmtId="178" fontId="0" fillId="3" borderId="61" xfId="0" applyNumberFormat="1" applyFont="1" applyFill="1" applyBorder="1" applyAlignment="1">
      <alignment horizontal="center"/>
    </xf>
    <xf numFmtId="178" fontId="0" fillId="3" borderId="56" xfId="0" applyNumberFormat="1" applyFont="1" applyFill="1" applyBorder="1" applyAlignment="1">
      <alignment horizontal="center"/>
    </xf>
    <xf numFmtId="178" fontId="0" fillId="3" borderId="62" xfId="0" applyNumberFormat="1" applyFont="1" applyFill="1" applyBorder="1" applyAlignment="1">
      <alignment horizontal="center"/>
    </xf>
    <xf numFmtId="168" fontId="0" fillId="2" borderId="1" xfId="0" applyNumberFormat="1" applyFill="1" applyBorder="1" applyAlignment="1">
      <alignment vertical="center"/>
    </xf>
    <xf numFmtId="168" fontId="10" fillId="2" borderId="9" xfId="1" applyNumberFormat="1" applyFont="1" applyFill="1" applyBorder="1"/>
    <xf numFmtId="168" fontId="10" fillId="2" borderId="26" xfId="1" applyNumberFormat="1" applyFont="1" applyFill="1" applyBorder="1" applyAlignment="1">
      <alignment horizontal="left"/>
    </xf>
    <xf numFmtId="168" fontId="0" fillId="2" borderId="10" xfId="0" applyNumberFormat="1" applyFill="1" applyBorder="1" applyAlignment="1">
      <alignment vertical="center"/>
    </xf>
    <xf numFmtId="166" fontId="0" fillId="3" borderId="82" xfId="1" applyNumberFormat="1" applyFont="1" applyFill="1" applyBorder="1" applyAlignment="1">
      <alignment horizontal="right"/>
    </xf>
    <xf numFmtId="166" fontId="0" fillId="3" borderId="77" xfId="1" applyNumberFormat="1" applyFont="1" applyFill="1" applyBorder="1" applyAlignment="1">
      <alignment horizontal="right"/>
    </xf>
    <xf numFmtId="166" fontId="0" fillId="3" borderId="77" xfId="0" applyNumberFormat="1" applyFont="1" applyFill="1" applyBorder="1" applyAlignment="1">
      <alignment horizontal="right"/>
    </xf>
    <xf numFmtId="166" fontId="0" fillId="7" borderId="79" xfId="0" applyNumberFormat="1" applyFill="1" applyBorder="1" applyAlignment="1">
      <alignment horizontal="right"/>
    </xf>
    <xf numFmtId="173" fontId="0" fillId="35" borderId="1" xfId="0" applyNumberFormat="1" applyFill="1" applyBorder="1" applyAlignment="1">
      <alignment horizontal="center"/>
    </xf>
    <xf numFmtId="9" fontId="0" fillId="39" borderId="1" xfId="2" applyNumberFormat="1" applyFont="1" applyFill="1" applyBorder="1" applyAlignment="1">
      <alignment horizontal="center"/>
    </xf>
    <xf numFmtId="9" fontId="0" fillId="35" borderId="1" xfId="0" applyNumberFormat="1" applyFill="1" applyBorder="1" applyAlignment="1">
      <alignment horizontal="center"/>
    </xf>
    <xf numFmtId="166" fontId="0" fillId="2" borderId="49" xfId="0" applyNumberFormat="1" applyFont="1" applyFill="1" applyBorder="1"/>
    <xf numFmtId="0" fontId="0" fillId="3" borderId="11" xfId="0" applyFont="1" applyFill="1" applyBorder="1" applyAlignment="1">
      <alignment horizontal="left"/>
    </xf>
    <xf numFmtId="168" fontId="10" fillId="2" borderId="10" xfId="1" applyNumberFormat="1" applyFont="1" applyFill="1" applyBorder="1" applyAlignment="1">
      <alignment horizontal="center"/>
    </xf>
    <xf numFmtId="174" fontId="10" fillId="3" borderId="74" xfId="0" applyNumberFormat="1" applyFont="1" applyFill="1" applyBorder="1" applyAlignment="1">
      <alignment horizontal="right"/>
    </xf>
    <xf numFmtId="174" fontId="10" fillId="3" borderId="25" xfId="0" applyNumberFormat="1" applyFont="1" applyFill="1" applyBorder="1" applyAlignment="1">
      <alignment horizontal="right"/>
    </xf>
    <xf numFmtId="178" fontId="10" fillId="3" borderId="25" xfId="0" applyNumberFormat="1" applyFont="1" applyFill="1" applyBorder="1" applyAlignment="1">
      <alignment horizontal="right"/>
    </xf>
    <xf numFmtId="178" fontId="10" fillId="3" borderId="26" xfId="0" applyNumberFormat="1" applyFont="1" applyFill="1" applyBorder="1" applyAlignment="1">
      <alignment horizontal="right"/>
    </xf>
    <xf numFmtId="173" fontId="10" fillId="7" borderId="5" xfId="2" applyNumberFormat="1" applyFont="1" applyFill="1" applyBorder="1" applyAlignment="1">
      <alignment horizontal="center"/>
    </xf>
    <xf numFmtId="173" fontId="10" fillId="7" borderId="6" xfId="2" applyNumberFormat="1" applyFont="1" applyFill="1" applyBorder="1" applyAlignment="1">
      <alignment horizontal="center"/>
    </xf>
    <xf numFmtId="173" fontId="10" fillId="7" borderId="13" xfId="2" applyNumberFormat="1" applyFont="1" applyFill="1" applyBorder="1" applyAlignment="1">
      <alignment horizontal="center"/>
    </xf>
    <xf numFmtId="173" fontId="10" fillId="7" borderId="14" xfId="2" applyNumberFormat="1" applyFont="1" applyFill="1" applyBorder="1" applyAlignment="1">
      <alignment horizontal="center"/>
    </xf>
    <xf numFmtId="173" fontId="10" fillId="7" borderId="45" xfId="2" applyNumberFormat="1" applyFont="1" applyFill="1" applyBorder="1" applyAlignment="1">
      <alignment horizontal="center"/>
    </xf>
    <xf numFmtId="173" fontId="10" fillId="7" borderId="83" xfId="2" applyNumberFormat="1" applyFont="1" applyFill="1" applyBorder="1" applyAlignment="1">
      <alignment horizontal="center"/>
    </xf>
    <xf numFmtId="173" fontId="10" fillId="28" borderId="5" xfId="0" applyNumberFormat="1" applyFont="1" applyFill="1" applyBorder="1" applyAlignment="1">
      <alignment horizontal="center"/>
    </xf>
    <xf numFmtId="173" fontId="10" fillId="28" borderId="13" xfId="0" applyNumberFormat="1" applyFont="1" applyFill="1" applyBorder="1" applyAlignment="1">
      <alignment horizontal="center"/>
    </xf>
    <xf numFmtId="173" fontId="10" fillId="28" borderId="10" xfId="0" applyNumberFormat="1" applyFont="1" applyFill="1" applyBorder="1" applyAlignment="1">
      <alignment horizontal="center"/>
    </xf>
    <xf numFmtId="178" fontId="10" fillId="3" borderId="74" xfId="0" applyNumberFormat="1" applyFont="1" applyFill="1" applyBorder="1" applyAlignment="1">
      <alignment horizontal="right"/>
    </xf>
    <xf numFmtId="173" fontId="10" fillId="7" borderId="5" xfId="0" applyNumberFormat="1" applyFont="1" applyFill="1" applyBorder="1" applyAlignment="1">
      <alignment horizontal="center"/>
    </xf>
    <xf numFmtId="173" fontId="10" fillId="7" borderId="6" xfId="0" applyNumberFormat="1" applyFont="1" applyFill="1" applyBorder="1" applyAlignment="1">
      <alignment horizontal="center"/>
    </xf>
    <xf numFmtId="173" fontId="10" fillId="7" borderId="13" xfId="0" applyNumberFormat="1" applyFont="1" applyFill="1" applyBorder="1" applyAlignment="1">
      <alignment horizontal="center"/>
    </xf>
    <xf numFmtId="173" fontId="10" fillId="7" borderId="14" xfId="0" applyNumberFormat="1" applyFont="1" applyFill="1" applyBorder="1" applyAlignment="1">
      <alignment horizontal="center"/>
    </xf>
    <xf numFmtId="173" fontId="10" fillId="7" borderId="10" xfId="0" applyNumberFormat="1" applyFont="1" applyFill="1" applyBorder="1" applyAlignment="1">
      <alignment horizontal="center"/>
    </xf>
    <xf numFmtId="173" fontId="10" fillId="7" borderId="11" xfId="0" applyNumberFormat="1" applyFont="1" applyFill="1" applyBorder="1" applyAlignment="1">
      <alignment horizontal="center"/>
    </xf>
    <xf numFmtId="166" fontId="10" fillId="2" borderId="13" xfId="0" applyNumberFormat="1" applyFont="1" applyFill="1" applyBorder="1"/>
    <xf numFmtId="166" fontId="10" fillId="2" borderId="10" xfId="0" applyNumberFormat="1" applyFont="1" applyFill="1" applyBorder="1"/>
    <xf numFmtId="173" fontId="10" fillId="7" borderId="10" xfId="2" applyNumberFormat="1" applyFont="1" applyFill="1" applyBorder="1" applyAlignment="1">
      <alignment horizontal="center"/>
    </xf>
    <xf numFmtId="173" fontId="10" fillId="7" borderId="11" xfId="2" applyNumberFormat="1" applyFont="1" applyFill="1" applyBorder="1" applyAlignment="1">
      <alignment horizontal="center"/>
    </xf>
    <xf numFmtId="173" fontId="0" fillId="0" borderId="0" xfId="0" applyNumberFormat="1" applyFill="1" applyBorder="1" applyAlignment="1">
      <alignment horizontal="center"/>
    </xf>
    <xf numFmtId="0" fontId="0" fillId="13" borderId="2" xfId="0" applyFill="1" applyBorder="1" applyAlignment="1">
      <alignment horizontal="center"/>
    </xf>
    <xf numFmtId="0" fontId="0" fillId="13" borderId="27" xfId="0" applyFill="1" applyBorder="1" applyAlignment="1">
      <alignment horizontal="center"/>
    </xf>
    <xf numFmtId="9" fontId="0" fillId="13" borderId="27" xfId="0" applyNumberFormat="1" applyFill="1" applyBorder="1" applyAlignment="1">
      <alignment horizontal="center"/>
    </xf>
    <xf numFmtId="9" fontId="0" fillId="13" borderId="13" xfId="0" applyNumberFormat="1" applyFill="1" applyBorder="1" applyAlignment="1">
      <alignment horizontal="center"/>
    </xf>
    <xf numFmtId="0" fontId="0" fillId="2" borderId="160" xfId="0" applyFill="1" applyBorder="1" applyAlignment="1">
      <alignment horizontal="center"/>
    </xf>
    <xf numFmtId="0" fontId="0" fillId="2" borderId="0" xfId="0" applyFill="1" applyBorder="1" applyAlignment="1">
      <alignment horizontal="center"/>
    </xf>
    <xf numFmtId="0" fontId="0" fillId="2" borderId="81" xfId="0" applyFill="1" applyBorder="1" applyAlignment="1">
      <alignment horizontal="center"/>
    </xf>
    <xf numFmtId="9" fontId="0" fillId="13" borderId="27" xfId="2" applyFont="1" applyFill="1" applyBorder="1" applyAlignment="1">
      <alignment horizontal="center"/>
    </xf>
    <xf numFmtId="9" fontId="0" fillId="13" borderId="13" xfId="2" applyFont="1" applyFill="1" applyBorder="1" applyAlignment="1">
      <alignment horizontal="center"/>
    </xf>
    <xf numFmtId="9" fontId="10" fillId="3" borderId="5" xfId="2" applyNumberFormat="1" applyFont="1" applyFill="1" applyBorder="1" applyAlignment="1">
      <alignment horizontal="center"/>
    </xf>
    <xf numFmtId="9" fontId="10" fillId="3" borderId="9" xfId="2" applyNumberFormat="1" applyFont="1" applyFill="1" applyBorder="1" applyAlignment="1">
      <alignment horizontal="center"/>
    </xf>
    <xf numFmtId="9" fontId="10" fillId="3" borderId="11" xfId="2" applyNumberFormat="1" applyFont="1" applyFill="1" applyBorder="1" applyAlignment="1">
      <alignment horizontal="center"/>
    </xf>
    <xf numFmtId="9" fontId="10" fillId="3" borderId="78" xfId="2" applyNumberFormat="1" applyFont="1" applyFill="1" applyBorder="1" applyAlignment="1">
      <alignment horizontal="center" vertical="center"/>
    </xf>
    <xf numFmtId="9" fontId="10" fillId="3" borderId="45" xfId="2" applyNumberFormat="1" applyFont="1" applyFill="1" applyBorder="1" applyAlignment="1">
      <alignment horizontal="center"/>
    </xf>
    <xf numFmtId="0" fontId="31" fillId="0" borderId="0" xfId="0" applyFont="1" applyAlignment="1">
      <alignment horizontal="center" wrapText="1"/>
    </xf>
    <xf numFmtId="0" fontId="18" fillId="16" borderId="54" xfId="0" applyFont="1" applyFill="1" applyBorder="1" applyAlignment="1">
      <alignment horizontal="center"/>
    </xf>
    <xf numFmtId="0" fontId="18" fillId="16" borderId="58" xfId="0" applyFont="1" applyFill="1" applyBorder="1" applyAlignment="1">
      <alignment horizontal="center"/>
    </xf>
    <xf numFmtId="0" fontId="32" fillId="0" borderId="0" xfId="0" applyFont="1" applyFill="1" applyBorder="1" applyAlignment="1">
      <alignment horizontal="left" vertical="top" wrapText="1"/>
    </xf>
    <xf numFmtId="177" fontId="6" fillId="0" borderId="0" xfId="0" applyNumberFormat="1" applyFont="1" applyAlignment="1">
      <alignment horizontal="left"/>
    </xf>
    <xf numFmtId="0" fontId="45" fillId="0" borderId="0" xfId="0" applyFont="1" applyFill="1" applyAlignment="1">
      <alignment vertical="center"/>
    </xf>
    <xf numFmtId="0" fontId="30" fillId="0" borderId="0" xfId="0" applyFont="1" applyBorder="1" applyAlignment="1"/>
    <xf numFmtId="0" fontId="2" fillId="2" borderId="3" xfId="0" applyFont="1" applyFill="1" applyBorder="1" applyAlignment="1">
      <alignment horizontal="center" vertical="center"/>
    </xf>
    <xf numFmtId="0" fontId="0" fillId="2" borderId="55" xfId="0" quotePrefix="1" applyFont="1" applyFill="1" applyBorder="1"/>
    <xf numFmtId="0" fontId="10" fillId="13" borderId="52" xfId="0" applyNumberFormat="1" applyFont="1" applyFill="1" applyBorder="1" applyAlignment="1">
      <alignment horizontal="center"/>
    </xf>
    <xf numFmtId="0" fontId="26" fillId="14" borderId="52" xfId="0" applyNumberFormat="1" applyFont="1" applyFill="1" applyBorder="1" applyAlignment="1">
      <alignment horizontal="center"/>
    </xf>
    <xf numFmtId="0" fontId="26" fillId="14" borderId="5" xfId="0" applyNumberFormat="1" applyFont="1" applyFill="1" applyBorder="1" applyAlignment="1">
      <alignment horizontal="center"/>
    </xf>
    <xf numFmtId="0" fontId="26" fillId="14" borderId="6" xfId="0" applyNumberFormat="1" applyFont="1" applyFill="1" applyBorder="1" applyAlignment="1">
      <alignment horizontal="center"/>
    </xf>
    <xf numFmtId="0" fontId="26" fillId="14" borderId="9" xfId="0" applyNumberFormat="1" applyFont="1" applyFill="1" applyBorder="1" applyAlignment="1">
      <alignment horizontal="center"/>
    </xf>
    <xf numFmtId="0" fontId="26" fillId="14" borderId="10" xfId="0" applyNumberFormat="1" applyFont="1" applyFill="1" applyBorder="1" applyAlignment="1">
      <alignment horizontal="center"/>
    </xf>
    <xf numFmtId="0" fontId="26" fillId="14" borderId="11" xfId="0" applyNumberFormat="1" applyFont="1" applyFill="1" applyBorder="1" applyAlignment="1">
      <alignment horizontal="center"/>
    </xf>
    <xf numFmtId="168" fontId="0" fillId="13" borderId="82" xfId="1" applyNumberFormat="1" applyFont="1" applyFill="1" applyBorder="1" applyAlignment="1"/>
    <xf numFmtId="168" fontId="0" fillId="13" borderId="41" xfId="0" applyNumberFormat="1" applyFont="1" applyFill="1" applyBorder="1" applyAlignment="1"/>
    <xf numFmtId="169" fontId="0" fillId="2" borderId="4" xfId="1" applyNumberFormat="1" applyFont="1" applyFill="1" applyBorder="1" applyAlignment="1">
      <alignment horizontal="right"/>
    </xf>
    <xf numFmtId="169" fontId="0" fillId="2" borderId="5" xfId="1" applyNumberFormat="1" applyFont="1" applyFill="1" applyBorder="1" applyAlignment="1">
      <alignment horizontal="right"/>
    </xf>
    <xf numFmtId="169" fontId="0" fillId="2" borderId="122" xfId="1" applyNumberFormat="1" applyFont="1" applyFill="1" applyBorder="1" applyAlignment="1">
      <alignment horizontal="right"/>
    </xf>
    <xf numFmtId="169" fontId="0" fillId="2" borderId="7" xfId="1" applyNumberFormat="1" applyFont="1" applyFill="1" applyBorder="1" applyAlignment="1">
      <alignment horizontal="right"/>
    </xf>
    <xf numFmtId="169" fontId="0" fillId="2" borderId="1" xfId="1" applyNumberFormat="1" applyFont="1" applyFill="1" applyBorder="1" applyAlignment="1">
      <alignment horizontal="right"/>
    </xf>
    <xf numFmtId="169" fontId="0" fillId="2" borderId="123" xfId="1" applyNumberFormat="1" applyFont="1" applyFill="1" applyBorder="1" applyAlignment="1">
      <alignment horizontal="right"/>
    </xf>
    <xf numFmtId="169" fontId="0" fillId="2" borderId="9" xfId="1" applyNumberFormat="1" applyFont="1" applyFill="1" applyBorder="1" applyAlignment="1">
      <alignment horizontal="right"/>
    </xf>
    <xf numFmtId="169" fontId="0" fillId="2" borderId="10" xfId="1" applyNumberFormat="1" applyFont="1" applyFill="1" applyBorder="1" applyAlignment="1">
      <alignment horizontal="right"/>
    </xf>
    <xf numFmtId="169" fontId="0" fillId="2" borderId="124" xfId="1" applyNumberFormat="1" applyFont="1" applyFill="1" applyBorder="1" applyAlignment="1">
      <alignment horizontal="right"/>
    </xf>
    <xf numFmtId="0" fontId="44" fillId="8" borderId="39" xfId="0" applyFont="1" applyFill="1" applyBorder="1" applyAlignment="1">
      <alignment horizontal="center" vertical="center" wrapText="1"/>
    </xf>
    <xf numFmtId="0" fontId="0" fillId="3" borderId="12" xfId="0" applyFill="1" applyBorder="1"/>
    <xf numFmtId="0" fontId="0" fillId="3" borderId="7" xfId="0" applyFill="1" applyBorder="1"/>
    <xf numFmtId="9" fontId="17" fillId="4" borderId="50" xfId="2" applyFont="1" applyFill="1" applyBorder="1" applyAlignment="1">
      <alignment horizontal="center" vertical="center"/>
    </xf>
    <xf numFmtId="0" fontId="0" fillId="3" borderId="13" xfId="0" applyFill="1" applyBorder="1" applyAlignment="1">
      <alignment horizontal="center"/>
    </xf>
    <xf numFmtId="44" fontId="0" fillId="0" borderId="0" xfId="0" applyNumberFormat="1" applyAlignment="1">
      <alignment horizontal="center"/>
    </xf>
    <xf numFmtId="0" fontId="0" fillId="7" borderId="40" xfId="0" applyFill="1" applyBorder="1" applyAlignment="1">
      <alignment horizontal="left"/>
    </xf>
    <xf numFmtId="0" fontId="0" fillId="3" borderId="53" xfId="0" applyFill="1" applyBorder="1"/>
    <xf numFmtId="181" fontId="9" fillId="0" borderId="0" xfId="0" applyNumberFormat="1" applyFont="1"/>
    <xf numFmtId="181" fontId="0" fillId="0" borderId="0" xfId="0" applyNumberFormat="1"/>
    <xf numFmtId="0" fontId="10" fillId="28" borderId="1" xfId="0" applyNumberFormat="1" applyFont="1" applyFill="1" applyBorder="1" applyAlignment="1">
      <alignment horizontal="center"/>
    </xf>
    <xf numFmtId="9" fontId="17" fillId="4" borderId="78" xfId="2" applyFont="1" applyFill="1" applyBorder="1" applyAlignment="1">
      <alignment vertical="center"/>
    </xf>
    <xf numFmtId="9" fontId="17" fillId="4" borderId="45" xfId="2" applyFont="1" applyFill="1" applyBorder="1" applyAlignment="1">
      <alignment vertical="center"/>
    </xf>
    <xf numFmtId="9" fontId="0" fillId="3" borderId="45" xfId="2" applyFont="1" applyFill="1" applyBorder="1" applyAlignment="1">
      <alignment vertical="center"/>
    </xf>
    <xf numFmtId="0" fontId="0" fillId="3" borderId="40" xfId="0" applyFill="1" applyBorder="1"/>
    <xf numFmtId="44" fontId="0" fillId="0" borderId="0" xfId="0" applyNumberFormat="1" applyFont="1"/>
    <xf numFmtId="43" fontId="0" fillId="0" borderId="0" xfId="3" applyFont="1"/>
    <xf numFmtId="168" fontId="26" fillId="19" borderId="92" xfId="1" applyFont="1" applyFill="1" applyBorder="1" applyAlignment="1">
      <alignment vertical="center"/>
    </xf>
    <xf numFmtId="181" fontId="0" fillId="0" borderId="0" xfId="0" applyNumberFormat="1" applyFont="1" applyFill="1" applyBorder="1"/>
    <xf numFmtId="43" fontId="10" fillId="13" borderId="43" xfId="3" applyFont="1" applyFill="1" applyBorder="1" applyAlignment="1">
      <alignment horizontal="center"/>
    </xf>
    <xf numFmtId="0" fontId="2" fillId="2" borderId="6" xfId="0" applyFont="1" applyFill="1" applyBorder="1" applyAlignment="1">
      <alignment horizontal="center" wrapText="1"/>
    </xf>
    <xf numFmtId="9" fontId="10" fillId="3" borderId="8" xfId="2" applyFont="1" applyFill="1" applyBorder="1" applyAlignment="1">
      <alignment horizontal="right"/>
    </xf>
    <xf numFmtId="9" fontId="7" fillId="3" borderId="8" xfId="2" applyFont="1" applyFill="1" applyBorder="1" applyAlignment="1">
      <alignment horizontal="right"/>
    </xf>
    <xf numFmtId="9" fontId="0" fillId="3" borderId="8" xfId="2" applyFont="1" applyFill="1" applyBorder="1" applyAlignment="1">
      <alignment horizontal="right"/>
    </xf>
    <xf numFmtId="9" fontId="0" fillId="3" borderId="33" xfId="2" applyFont="1" applyFill="1" applyBorder="1" applyAlignment="1">
      <alignment horizontal="right"/>
    </xf>
    <xf numFmtId="9" fontId="0" fillId="7" borderId="8" xfId="2" applyFont="1" applyFill="1" applyBorder="1" applyAlignment="1">
      <alignment horizontal="right"/>
    </xf>
    <xf numFmtId="9" fontId="0" fillId="16" borderId="1" xfId="2" applyFont="1" applyFill="1" applyBorder="1" applyAlignment="1">
      <alignment horizontal="center"/>
    </xf>
    <xf numFmtId="9" fontId="0" fillId="0" borderId="0" xfId="2" applyFont="1"/>
    <xf numFmtId="9" fontId="22" fillId="0" borderId="29" xfId="2" applyFont="1" applyFill="1" applyBorder="1" applyAlignment="1">
      <alignment horizontal="right"/>
    </xf>
    <xf numFmtId="173" fontId="10" fillId="26" borderId="31" xfId="2" applyNumberFormat="1" applyFont="1" applyFill="1" applyBorder="1" applyAlignment="1"/>
    <xf numFmtId="173" fontId="10" fillId="26" borderId="0" xfId="2" applyNumberFormat="1" applyFont="1" applyFill="1" applyBorder="1" applyAlignment="1"/>
    <xf numFmtId="173" fontId="10" fillId="26" borderId="120" xfId="2" applyNumberFormat="1" applyFont="1" applyFill="1" applyBorder="1" applyAlignment="1"/>
    <xf numFmtId="0" fontId="0" fillId="13" borderId="0" xfId="0" quotePrefix="1" applyNumberFormat="1" applyFill="1" applyBorder="1" applyAlignment="1">
      <alignment horizontal="center"/>
    </xf>
    <xf numFmtId="0" fontId="47" fillId="0" borderId="0" xfId="0" applyFont="1" applyAlignment="1">
      <alignment horizontal="left" vertical="top" wrapText="1"/>
    </xf>
    <xf numFmtId="0" fontId="0" fillId="7" borderId="28" xfId="0" applyFill="1" applyBorder="1" applyAlignment="1">
      <alignment horizontal="left" vertical="top" wrapText="1"/>
    </xf>
    <xf numFmtId="0" fontId="0" fillId="7" borderId="29" xfId="0" applyFill="1" applyBorder="1" applyAlignment="1">
      <alignment horizontal="left" vertical="top" wrapText="1"/>
    </xf>
    <xf numFmtId="0" fontId="0" fillId="7" borderId="30" xfId="0" applyFill="1" applyBorder="1" applyAlignment="1">
      <alignment horizontal="left" vertical="top" wrapText="1"/>
    </xf>
    <xf numFmtId="0" fontId="0" fillId="7" borderId="76" xfId="0" applyFill="1" applyBorder="1" applyAlignment="1">
      <alignment horizontal="left" vertical="top" wrapText="1"/>
    </xf>
    <xf numFmtId="0" fontId="0" fillId="7" borderId="81" xfId="0" applyFill="1" applyBorder="1" applyAlignment="1">
      <alignment horizontal="left" vertical="top" wrapText="1"/>
    </xf>
    <xf numFmtId="0" fontId="0" fillId="7" borderId="82" xfId="0" applyFill="1" applyBorder="1" applyAlignment="1">
      <alignment horizontal="left" vertical="top" wrapText="1"/>
    </xf>
    <xf numFmtId="0" fontId="0" fillId="7" borderId="159" xfId="0" applyFill="1" applyBorder="1" applyAlignment="1">
      <alignment horizontal="left" vertical="top" wrapText="1"/>
    </xf>
    <xf numFmtId="0" fontId="0" fillId="7" borderId="160" xfId="0" applyFill="1" applyBorder="1" applyAlignment="1">
      <alignment horizontal="left" vertical="top" wrapText="1"/>
    </xf>
    <xf numFmtId="0" fontId="0" fillId="7" borderId="93" xfId="0" applyFill="1" applyBorder="1" applyAlignment="1">
      <alignment horizontal="left" vertical="top" wrapText="1"/>
    </xf>
    <xf numFmtId="0" fontId="10" fillId="3" borderId="23" xfId="0" applyFont="1" applyFill="1" applyBorder="1" applyAlignment="1">
      <alignment horizontal="left"/>
    </xf>
    <xf numFmtId="0" fontId="10" fillId="3" borderId="25" xfId="0" applyFont="1" applyFill="1" applyBorder="1" applyAlignment="1">
      <alignment horizontal="left"/>
    </xf>
    <xf numFmtId="0" fontId="18" fillId="16" borderId="54" xfId="0" applyFont="1" applyFill="1" applyBorder="1" applyAlignment="1">
      <alignment horizontal="center"/>
    </xf>
    <xf numFmtId="0" fontId="18" fillId="16" borderId="58" xfId="0" applyFont="1" applyFill="1" applyBorder="1" applyAlignment="1">
      <alignment horizontal="center"/>
    </xf>
    <xf numFmtId="0" fontId="0" fillId="2" borderId="43" xfId="0" applyFill="1" applyBorder="1" applyAlignment="1"/>
    <xf numFmtId="0" fontId="0" fillId="2" borderId="62" xfId="0" applyFill="1" applyBorder="1" applyAlignment="1"/>
    <xf numFmtId="0" fontId="0" fillId="2" borderId="26" xfId="0" applyFill="1" applyBorder="1" applyAlignment="1"/>
    <xf numFmtId="0" fontId="32" fillId="13" borderId="112" xfId="0" applyFont="1" applyFill="1" applyBorder="1" applyAlignment="1">
      <alignment horizontal="left" vertical="center" wrapText="1"/>
    </xf>
    <xf numFmtId="0" fontId="32" fillId="13" borderId="113" xfId="0" applyFont="1" applyFill="1" applyBorder="1" applyAlignment="1">
      <alignment horizontal="left" vertical="center" wrapText="1"/>
    </xf>
    <xf numFmtId="0" fontId="32" fillId="13" borderId="114" xfId="0" applyFont="1" applyFill="1" applyBorder="1" applyAlignment="1">
      <alignment horizontal="left" vertical="center" wrapText="1"/>
    </xf>
    <xf numFmtId="0" fontId="32" fillId="13" borderId="115" xfId="0" applyFont="1" applyFill="1" applyBorder="1" applyAlignment="1">
      <alignment horizontal="left" vertical="center" wrapText="1"/>
    </xf>
    <xf numFmtId="0" fontId="32" fillId="13" borderId="116" xfId="0" applyFont="1" applyFill="1" applyBorder="1" applyAlignment="1">
      <alignment horizontal="left" vertical="center" wrapText="1"/>
    </xf>
    <xf numFmtId="0" fontId="32" fillId="13" borderId="117" xfId="0" applyFont="1" applyFill="1" applyBorder="1" applyAlignment="1">
      <alignment horizontal="left" vertical="center" wrapText="1"/>
    </xf>
    <xf numFmtId="0" fontId="0" fillId="7" borderId="54" xfId="0" applyFill="1" applyBorder="1" applyAlignment="1">
      <alignment horizontal="left" vertical="top" wrapText="1"/>
    </xf>
    <xf numFmtId="0" fontId="0" fillId="7" borderId="58" xfId="0" applyFill="1" applyBorder="1" applyAlignment="1">
      <alignment horizontal="left" vertical="top" wrapText="1"/>
    </xf>
    <xf numFmtId="0" fontId="0" fillId="7" borderId="60" xfId="0" applyFill="1" applyBorder="1" applyAlignment="1">
      <alignment horizontal="left" vertical="top" wrapText="1"/>
    </xf>
    <xf numFmtId="0" fontId="0" fillId="13" borderId="161" xfId="0" applyFill="1" applyBorder="1" applyAlignment="1">
      <alignment horizontal="left" vertical="top" wrapText="1"/>
    </xf>
    <xf numFmtId="0" fontId="0" fillId="13" borderId="162" xfId="0" applyFill="1" applyBorder="1" applyAlignment="1">
      <alignment horizontal="left" vertical="top" wrapText="1"/>
    </xf>
    <xf numFmtId="0" fontId="0" fillId="13" borderId="163" xfId="0" applyFill="1" applyBorder="1" applyAlignment="1">
      <alignment horizontal="left" vertical="top" wrapText="1"/>
    </xf>
    <xf numFmtId="0" fontId="0" fillId="3" borderId="23" xfId="0" applyFont="1" applyFill="1" applyBorder="1" applyAlignment="1">
      <alignment horizontal="left"/>
    </xf>
    <xf numFmtId="0" fontId="0" fillId="3" borderId="25" xfId="0" applyFont="1" applyFill="1" applyBorder="1" applyAlignment="1">
      <alignment horizontal="left"/>
    </xf>
    <xf numFmtId="0" fontId="0" fillId="2" borderId="40" xfId="0" applyFill="1" applyBorder="1" applyAlignment="1">
      <alignment horizontal="center" vertical="center"/>
    </xf>
    <xf numFmtId="0" fontId="2" fillId="2" borderId="36" xfId="0" applyFont="1" applyFill="1" applyBorder="1" applyAlignment="1">
      <alignment horizontal="center"/>
    </xf>
    <xf numFmtId="0" fontId="2" fillId="2" borderId="74" xfId="0" applyFont="1" applyFill="1" applyBorder="1" applyAlignment="1">
      <alignment horizontal="center"/>
    </xf>
    <xf numFmtId="0" fontId="0" fillId="2" borderId="41" xfId="0" applyFill="1" applyBorder="1" applyAlignment="1">
      <alignment horizontal="center" vertical="center"/>
    </xf>
    <xf numFmtId="0" fontId="0" fillId="2" borderId="52" xfId="0" applyFill="1" applyBorder="1" applyAlignment="1">
      <alignment horizontal="left"/>
    </xf>
    <xf numFmtId="0" fontId="0" fillId="2" borderId="61" xfId="0" applyFill="1" applyBorder="1" applyAlignment="1">
      <alignment horizontal="left"/>
    </xf>
    <xf numFmtId="0" fontId="0" fillId="2" borderId="74" xfId="0" applyFill="1" applyBorder="1" applyAlignment="1">
      <alignment horizontal="left"/>
    </xf>
    <xf numFmtId="0" fontId="28" fillId="20" borderId="28" xfId="0" applyFont="1" applyFill="1" applyBorder="1" applyAlignment="1">
      <alignment horizontal="center"/>
    </xf>
    <xf numFmtId="0" fontId="28" fillId="20" borderId="29" xfId="0" applyFont="1" applyFill="1" applyBorder="1" applyAlignment="1">
      <alignment horizontal="center"/>
    </xf>
    <xf numFmtId="0" fontId="28" fillId="20" borderId="30" xfId="0" applyFont="1" applyFill="1" applyBorder="1" applyAlignment="1">
      <alignment horizontal="center"/>
    </xf>
    <xf numFmtId="0" fontId="0" fillId="2" borderId="53" xfId="0" applyFill="1" applyBorder="1" applyAlignment="1">
      <alignment horizontal="left"/>
    </xf>
    <xf numFmtId="0" fontId="0" fillId="2" borderId="25" xfId="0" applyFill="1" applyBorder="1" applyAlignment="1">
      <alignment horizontal="left"/>
    </xf>
    <xf numFmtId="0" fontId="0" fillId="2" borderId="39" xfId="0" applyFill="1" applyBorder="1" applyAlignment="1">
      <alignment horizontal="center" vertical="center"/>
    </xf>
    <xf numFmtId="0" fontId="43" fillId="13" borderId="168" xfId="0" applyFont="1" applyFill="1" applyBorder="1" applyAlignment="1">
      <alignment horizontal="left" vertical="center" wrapText="1"/>
    </xf>
    <xf numFmtId="0" fontId="43" fillId="13" borderId="169" xfId="0" applyFont="1" applyFill="1" applyBorder="1" applyAlignment="1">
      <alignment horizontal="left" vertical="center" wrapText="1"/>
    </xf>
    <xf numFmtId="0" fontId="43" fillId="13" borderId="170" xfId="0" applyFont="1" applyFill="1" applyBorder="1" applyAlignment="1">
      <alignment horizontal="left" vertical="center" wrapText="1"/>
    </xf>
    <xf numFmtId="0" fontId="0" fillId="2" borderId="52" xfId="0" applyFont="1" applyFill="1" applyBorder="1" applyAlignment="1">
      <alignment horizontal="left"/>
    </xf>
    <xf numFmtId="0" fontId="0" fillId="2" borderId="74" xfId="0" applyFont="1" applyFill="1" applyBorder="1" applyAlignment="1">
      <alignment horizontal="left"/>
    </xf>
    <xf numFmtId="0" fontId="2" fillId="13" borderId="70" xfId="0" applyFont="1" applyFill="1" applyBorder="1" applyAlignment="1">
      <alignment horizontal="center" vertical="center" wrapText="1"/>
    </xf>
    <xf numFmtId="0" fontId="2" fillId="13" borderId="50" xfId="0" applyFont="1" applyFill="1" applyBorder="1" applyAlignment="1">
      <alignment horizontal="center" vertical="center" wrapText="1"/>
    </xf>
    <xf numFmtId="0" fontId="0" fillId="2" borderId="4" xfId="0" applyFont="1" applyFill="1" applyBorder="1" applyAlignment="1">
      <alignment horizontal="center"/>
    </xf>
    <xf numFmtId="0" fontId="0" fillId="2" borderId="6" xfId="0" applyFont="1" applyFill="1" applyBorder="1" applyAlignment="1">
      <alignment horizontal="center"/>
    </xf>
    <xf numFmtId="0" fontId="0" fillId="2" borderId="37" xfId="0" applyFont="1" applyFill="1" applyBorder="1" applyAlignment="1">
      <alignment horizontal="center" wrapText="1"/>
    </xf>
    <xf numFmtId="0" fontId="0" fillId="2" borderId="12" xfId="0" applyFont="1" applyFill="1" applyBorder="1" applyAlignment="1">
      <alignment horizontal="center" wrapText="1"/>
    </xf>
    <xf numFmtId="0" fontId="5" fillId="2" borderId="33" xfId="0" applyFont="1" applyFill="1" applyBorder="1" applyAlignment="1">
      <alignment horizontal="center" wrapText="1"/>
    </xf>
    <xf numFmtId="0" fontId="5" fillId="2" borderId="14" xfId="0" applyFont="1" applyFill="1" applyBorder="1" applyAlignment="1">
      <alignment horizontal="center" wrapText="1"/>
    </xf>
    <xf numFmtId="0" fontId="0" fillId="2" borderId="37" xfId="0" applyFont="1" applyFill="1" applyBorder="1" applyAlignment="1">
      <alignment horizontal="center" vertical="top"/>
    </xf>
    <xf numFmtId="0" fontId="0" fillId="2" borderId="12" xfId="0" applyFont="1" applyFill="1" applyBorder="1" applyAlignment="1">
      <alignment horizontal="center" vertical="top"/>
    </xf>
    <xf numFmtId="0" fontId="2" fillId="2" borderId="18" xfId="0" applyFont="1" applyFill="1" applyBorder="1" applyAlignment="1">
      <alignment horizontal="left"/>
    </xf>
    <xf numFmtId="0" fontId="2" fillId="2" borderId="44" xfId="0" applyFont="1" applyFill="1" applyBorder="1" applyAlignment="1">
      <alignment horizontal="left"/>
    </xf>
    <xf numFmtId="0" fontId="0" fillId="2" borderId="43" xfId="0" applyFill="1" applyBorder="1" applyAlignment="1">
      <alignment horizontal="left"/>
    </xf>
    <xf numFmtId="0" fontId="0" fillId="2" borderId="26" xfId="0" applyFill="1" applyBorder="1" applyAlignment="1">
      <alignment horizontal="left"/>
    </xf>
    <xf numFmtId="0" fontId="0" fillId="2" borderId="23" xfId="0" applyFill="1" applyBorder="1" applyAlignment="1">
      <alignment horizontal="left"/>
    </xf>
    <xf numFmtId="0" fontId="0" fillId="2" borderId="25" xfId="0" applyFont="1" applyFill="1" applyBorder="1" applyAlignment="1">
      <alignment horizontal="left"/>
    </xf>
    <xf numFmtId="0" fontId="0" fillId="2" borderId="24" xfId="0" applyFont="1" applyFill="1" applyBorder="1" applyAlignment="1">
      <alignment horizontal="left"/>
    </xf>
    <xf numFmtId="0" fontId="0" fillId="2" borderId="26" xfId="0" applyFont="1" applyFill="1" applyBorder="1" applyAlignment="1">
      <alignment horizontal="left"/>
    </xf>
    <xf numFmtId="0" fontId="4" fillId="0" borderId="0" xfId="0" applyFont="1" applyAlignment="1">
      <alignment horizontal="left"/>
    </xf>
    <xf numFmtId="0" fontId="0" fillId="2" borderId="23" xfId="0" applyFont="1" applyFill="1" applyBorder="1" applyAlignment="1">
      <alignment horizontal="left"/>
    </xf>
    <xf numFmtId="0" fontId="25" fillId="14" borderId="23" xfId="0" applyFont="1" applyFill="1" applyBorder="1" applyAlignment="1">
      <alignment horizontal="center"/>
    </xf>
    <xf numFmtId="0" fontId="25" fillId="14" borderId="56" xfId="0" applyFont="1" applyFill="1" applyBorder="1" applyAlignment="1">
      <alignment horizontal="center"/>
    </xf>
    <xf numFmtId="0" fontId="25" fillId="14" borderId="25" xfId="0" applyFont="1" applyFill="1" applyBorder="1" applyAlignment="1">
      <alignment horizontal="center"/>
    </xf>
    <xf numFmtId="0" fontId="2" fillId="2" borderId="35" xfId="0" applyFont="1" applyFill="1" applyBorder="1" applyAlignment="1">
      <alignment horizontal="left" vertical="top"/>
    </xf>
    <xf numFmtId="0" fontId="2" fillId="2" borderId="160" xfId="0" applyFont="1" applyFill="1" applyBorder="1" applyAlignment="1">
      <alignment horizontal="left" vertical="top"/>
    </xf>
    <xf numFmtId="0" fontId="2" fillId="2" borderId="31" xfId="0" applyFont="1" applyFill="1" applyBorder="1" applyAlignment="1">
      <alignment horizontal="left" vertical="top"/>
    </xf>
    <xf numFmtId="0" fontId="2" fillId="2" borderId="0" xfId="0" applyFont="1" applyFill="1" applyBorder="1" applyAlignment="1">
      <alignment horizontal="left" vertical="top"/>
    </xf>
    <xf numFmtId="0" fontId="2" fillId="2" borderId="22" xfId="0" applyFont="1" applyFill="1" applyBorder="1" applyAlignment="1">
      <alignment horizontal="left" vertical="top"/>
    </xf>
    <xf numFmtId="0" fontId="2" fillId="2" borderId="81" xfId="0" applyFont="1" applyFill="1" applyBorder="1" applyAlignment="1">
      <alignment horizontal="left" vertical="top"/>
    </xf>
    <xf numFmtId="0" fontId="2" fillId="2" borderId="23" xfId="0" applyFont="1" applyFill="1" applyBorder="1" applyAlignment="1">
      <alignment horizontal="left" vertical="center"/>
    </xf>
    <xf numFmtId="0" fontId="2" fillId="2" borderId="56" xfId="0" applyFont="1" applyFill="1" applyBorder="1" applyAlignment="1">
      <alignment horizontal="left" vertical="center"/>
    </xf>
    <xf numFmtId="0" fontId="2" fillId="2" borderId="25" xfId="0" applyFont="1" applyFill="1" applyBorder="1" applyAlignment="1">
      <alignment horizontal="left" vertical="center"/>
    </xf>
    <xf numFmtId="172" fontId="0" fillId="16" borderId="2" xfId="0" applyNumberFormat="1" applyFill="1" applyBorder="1" applyAlignment="1">
      <alignment horizontal="center" vertical="center"/>
    </xf>
    <xf numFmtId="172" fontId="0" fillId="16" borderId="13" xfId="0" applyNumberFormat="1" applyFill="1" applyBorder="1" applyAlignment="1">
      <alignment horizontal="center" vertical="center"/>
    </xf>
    <xf numFmtId="172" fontId="0" fillId="41" borderId="2" xfId="0" applyNumberFormat="1" applyFill="1" applyBorder="1" applyAlignment="1">
      <alignment horizontal="center" vertical="center"/>
    </xf>
    <xf numFmtId="172" fontId="0" fillId="41" borderId="13" xfId="0" applyNumberFormat="1" applyFill="1" applyBorder="1" applyAlignment="1">
      <alignment horizontal="center" vertical="center"/>
    </xf>
    <xf numFmtId="172" fontId="0" fillId="35" borderId="2" xfId="0" applyNumberFormat="1" applyFill="1" applyBorder="1" applyAlignment="1">
      <alignment horizontal="center" vertical="center"/>
    </xf>
    <xf numFmtId="172" fontId="0" fillId="35" borderId="13" xfId="0" applyNumberFormat="1" applyFill="1" applyBorder="1" applyAlignment="1">
      <alignment horizontal="center" vertical="center"/>
    </xf>
    <xf numFmtId="0" fontId="2" fillId="2" borderId="35" xfId="0" applyFont="1" applyFill="1" applyBorder="1" applyAlignment="1">
      <alignment horizontal="left" wrapText="1"/>
    </xf>
    <xf numFmtId="0" fontId="2" fillId="2" borderId="160" xfId="0" applyFont="1" applyFill="1" applyBorder="1" applyAlignment="1">
      <alignment horizontal="left" wrapText="1"/>
    </xf>
    <xf numFmtId="0" fontId="2" fillId="2" borderId="34" xfId="0" applyFont="1" applyFill="1" applyBorder="1" applyAlignment="1">
      <alignment horizontal="left" wrapText="1"/>
    </xf>
    <xf numFmtId="0" fontId="2" fillId="2" borderId="22" xfId="0" applyFont="1" applyFill="1" applyBorder="1" applyAlignment="1">
      <alignment horizontal="left" wrapText="1"/>
    </xf>
    <xf numFmtId="0" fontId="2" fillId="2" borderId="81" xfId="0" applyFont="1" applyFill="1" applyBorder="1" applyAlignment="1">
      <alignment horizontal="left" wrapText="1"/>
    </xf>
    <xf numFmtId="0" fontId="2" fillId="2" borderId="67" xfId="0" applyFont="1" applyFill="1" applyBorder="1" applyAlignment="1">
      <alignment horizontal="left" wrapText="1"/>
    </xf>
    <xf numFmtId="172" fontId="0" fillId="31" borderId="2" xfId="0" applyNumberFormat="1" applyFill="1" applyBorder="1" applyAlignment="1">
      <alignment horizontal="center" vertical="center"/>
    </xf>
    <xf numFmtId="172" fontId="0" fillId="31" borderId="13" xfId="0" applyNumberFormat="1" applyFill="1" applyBorder="1" applyAlignment="1">
      <alignment horizontal="center" vertical="center"/>
    </xf>
    <xf numFmtId="172" fontId="0" fillId="39" borderId="2" xfId="2" applyNumberFormat="1" applyFont="1" applyFill="1" applyBorder="1" applyAlignment="1">
      <alignment horizontal="center" vertical="center"/>
    </xf>
    <xf numFmtId="172" fontId="0" fillId="39" borderId="13" xfId="2" applyNumberFormat="1" applyFont="1" applyFill="1" applyBorder="1" applyAlignment="1">
      <alignment horizontal="center" vertical="center"/>
    </xf>
    <xf numFmtId="0" fontId="2" fillId="30" borderId="4" xfId="0" applyFont="1" applyFill="1" applyBorder="1" applyAlignment="1">
      <alignment horizontal="center" textRotation="90" wrapText="1"/>
    </xf>
    <xf numFmtId="0" fontId="2" fillId="30" borderId="7" xfId="0" applyFont="1" applyFill="1" applyBorder="1" applyAlignment="1">
      <alignment horizontal="center" textRotation="90" wrapText="1"/>
    </xf>
    <xf numFmtId="0" fontId="2" fillId="33" borderId="32" xfId="0" applyFont="1" applyFill="1" applyBorder="1" applyAlignment="1">
      <alignment horizontal="center" textRotation="90" wrapText="1"/>
    </xf>
    <xf numFmtId="0" fontId="2" fillId="33" borderId="27" xfId="0" applyFont="1" applyFill="1" applyBorder="1" applyAlignment="1">
      <alignment horizontal="center" textRotation="90" wrapText="1"/>
    </xf>
    <xf numFmtId="0" fontId="2" fillId="33" borderId="13" xfId="0" applyFont="1" applyFill="1" applyBorder="1" applyAlignment="1">
      <alignment horizontal="center" textRotation="90" wrapText="1"/>
    </xf>
    <xf numFmtId="0" fontId="2" fillId="38" borderId="32" xfId="0" applyFont="1" applyFill="1" applyBorder="1" applyAlignment="1">
      <alignment horizontal="center" textRotation="90" wrapText="1"/>
    </xf>
    <xf numFmtId="0" fontId="2" fillId="38" borderId="27" xfId="0" applyFont="1" applyFill="1" applyBorder="1" applyAlignment="1">
      <alignment horizontal="center" textRotation="90" wrapText="1"/>
    </xf>
    <xf numFmtId="0" fontId="2" fillId="38" borderId="13" xfId="0" applyFont="1" applyFill="1" applyBorder="1" applyAlignment="1">
      <alignment horizontal="center" textRotation="90" wrapText="1"/>
    </xf>
    <xf numFmtId="0" fontId="2" fillId="40" borderId="32" xfId="0" applyFont="1" applyFill="1" applyBorder="1" applyAlignment="1">
      <alignment horizontal="center" textRotation="90" wrapText="1"/>
    </xf>
    <xf numFmtId="0" fontId="2" fillId="40" borderId="27" xfId="0" applyFont="1" applyFill="1" applyBorder="1" applyAlignment="1">
      <alignment horizontal="center" textRotation="90" wrapText="1"/>
    </xf>
    <xf numFmtId="0" fontId="2" fillId="40" borderId="13" xfId="0" applyFont="1" applyFill="1" applyBorder="1" applyAlignment="1">
      <alignment horizontal="center" textRotation="90" wrapText="1"/>
    </xf>
    <xf numFmtId="0" fontId="2" fillId="34" borderId="165" xfId="0" applyFont="1" applyFill="1" applyBorder="1" applyAlignment="1">
      <alignment horizontal="center" textRotation="90" wrapText="1"/>
    </xf>
    <xf numFmtId="0" fontId="2" fillId="34" borderId="181" xfId="0" applyFont="1" applyFill="1" applyBorder="1" applyAlignment="1">
      <alignment horizontal="center" textRotation="90" wrapText="1"/>
    </xf>
    <xf numFmtId="0" fontId="2" fillId="34" borderId="14" xfId="0" applyFont="1" applyFill="1" applyBorder="1" applyAlignment="1">
      <alignment horizontal="center" textRotation="90" wrapText="1"/>
    </xf>
    <xf numFmtId="0" fontId="2" fillId="13" borderId="2" xfId="0" applyFont="1" applyFill="1" applyBorder="1" applyAlignment="1">
      <alignment horizontal="center" wrapText="1"/>
    </xf>
    <xf numFmtId="0" fontId="2" fillId="13" borderId="13" xfId="0" applyFont="1" applyFill="1" applyBorder="1" applyAlignment="1">
      <alignment horizontal="center" wrapText="1"/>
    </xf>
    <xf numFmtId="0" fontId="2" fillId="2" borderId="2" xfId="0" applyFont="1" applyFill="1" applyBorder="1" applyAlignment="1">
      <alignment horizontal="center" wrapText="1"/>
    </xf>
    <xf numFmtId="0" fontId="2" fillId="2" borderId="13" xfId="0" applyFont="1" applyFill="1" applyBorder="1" applyAlignment="1">
      <alignment horizontal="center" wrapText="1"/>
    </xf>
    <xf numFmtId="0" fontId="32" fillId="13" borderId="162" xfId="0" applyFont="1" applyFill="1" applyBorder="1" applyAlignment="1">
      <alignment horizontal="left" vertical="top" wrapText="1"/>
    </xf>
    <xf numFmtId="0" fontId="32" fillId="13" borderId="163" xfId="0" applyFont="1" applyFill="1" applyBorder="1" applyAlignment="1">
      <alignment horizontal="left" vertical="top" wrapText="1"/>
    </xf>
    <xf numFmtId="0" fontId="8" fillId="13" borderId="2" xfId="0" applyFont="1" applyFill="1" applyBorder="1" applyAlignment="1">
      <alignment horizontal="center" wrapText="1"/>
    </xf>
    <xf numFmtId="0" fontId="8" fillId="13" borderId="13" xfId="0" applyFont="1" applyFill="1" applyBorder="1" applyAlignment="1">
      <alignment horizont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4" xfId="0" applyFont="1" applyFill="1" applyBorder="1" applyAlignment="1">
      <alignment horizontal="center" wrapText="1"/>
    </xf>
    <xf numFmtId="0" fontId="2" fillId="2" borderId="67" xfId="0" applyFont="1" applyFill="1" applyBorder="1" applyAlignment="1">
      <alignment horizontal="center" wrapText="1"/>
    </xf>
    <xf numFmtId="0" fontId="2" fillId="0" borderId="0" xfId="0" applyFont="1" applyAlignment="1">
      <alignment horizontal="center" wrapText="1"/>
    </xf>
    <xf numFmtId="0" fontId="44" fillId="32" borderId="36" xfId="0" applyFont="1" applyFill="1" applyBorder="1" applyAlignment="1">
      <alignment horizontal="center" wrapText="1"/>
    </xf>
    <xf numFmtId="0" fontId="44" fillId="32" borderId="61" xfId="0" applyFont="1" applyFill="1" applyBorder="1" applyAlignment="1">
      <alignment horizontal="center" wrapText="1"/>
    </xf>
    <xf numFmtId="0" fontId="44" fillId="32" borderId="63" xfId="0" applyFont="1" applyFill="1" applyBorder="1" applyAlignment="1">
      <alignment horizontal="center" wrapText="1"/>
    </xf>
    <xf numFmtId="0" fontId="2" fillId="13" borderId="45" xfId="0" applyFont="1" applyFill="1" applyBorder="1" applyAlignment="1">
      <alignment horizontal="center" wrapText="1"/>
    </xf>
    <xf numFmtId="0" fontId="2" fillId="13" borderId="33" xfId="0" applyFont="1" applyFill="1" applyBorder="1" applyAlignment="1">
      <alignment horizontal="center" wrapText="1"/>
    </xf>
    <xf numFmtId="0" fontId="2" fillId="13" borderId="83" xfId="0" applyFont="1" applyFill="1" applyBorder="1" applyAlignment="1">
      <alignment horizontal="center" wrapText="1"/>
    </xf>
    <xf numFmtId="0" fontId="2" fillId="29" borderId="2" xfId="0" applyFont="1" applyFill="1" applyBorder="1" applyAlignment="1">
      <alignment horizontal="center" wrapText="1"/>
    </xf>
    <xf numFmtId="0" fontId="2" fillId="29" borderId="45" xfId="0" applyFont="1" applyFill="1" applyBorder="1" applyAlignment="1">
      <alignment horizontal="center" wrapText="1"/>
    </xf>
    <xf numFmtId="0" fontId="2" fillId="2" borderId="81" xfId="0" applyFont="1" applyFill="1" applyBorder="1" applyAlignment="1">
      <alignment horizontal="center"/>
    </xf>
    <xf numFmtId="0" fontId="2" fillId="13" borderId="27" xfId="0" applyFont="1" applyFill="1" applyBorder="1" applyAlignment="1">
      <alignment horizontal="center" wrapText="1"/>
    </xf>
    <xf numFmtId="171" fontId="2" fillId="13" borderId="52" xfId="0" applyNumberFormat="1" applyFont="1" applyFill="1" applyBorder="1" applyAlignment="1">
      <alignment horizontal="center" vertical="center"/>
    </xf>
    <xf numFmtId="171" fontId="2" fillId="13" borderId="61" xfId="0" applyNumberFormat="1" applyFont="1" applyFill="1" applyBorder="1" applyAlignment="1">
      <alignment horizontal="center" vertical="center"/>
    </xf>
    <xf numFmtId="171" fontId="2" fillId="13" borderId="63" xfId="0" applyNumberFormat="1" applyFont="1" applyFill="1" applyBorder="1" applyAlignment="1">
      <alignment horizontal="center" vertical="center"/>
    </xf>
    <xf numFmtId="171" fontId="2" fillId="13" borderId="2" xfId="0" applyNumberFormat="1" applyFont="1" applyFill="1" applyBorder="1" applyAlignment="1">
      <alignment horizontal="center" wrapText="1"/>
    </xf>
    <xf numFmtId="171" fontId="2" fillId="13" borderId="45" xfId="0" applyNumberFormat="1" applyFont="1" applyFill="1" applyBorder="1" applyAlignment="1">
      <alignment horizontal="center" wrapText="1"/>
    </xf>
    <xf numFmtId="171" fontId="2" fillId="13" borderId="34" xfId="0" applyNumberFormat="1" applyFont="1" applyFill="1" applyBorder="1" applyAlignment="1">
      <alignment horizontal="center" wrapText="1"/>
    </xf>
    <xf numFmtId="171" fontId="2" fillId="13" borderId="78" xfId="0" applyNumberFormat="1" applyFont="1" applyFill="1" applyBorder="1" applyAlignment="1">
      <alignment horizontal="center" wrapText="1"/>
    </xf>
    <xf numFmtId="171" fontId="2" fillId="2" borderId="33" xfId="0" applyNumberFormat="1" applyFont="1" applyFill="1" applyBorder="1" applyAlignment="1">
      <alignment horizontal="center" vertical="center" wrapText="1"/>
    </xf>
    <xf numFmtId="171" fontId="2" fillId="2" borderId="181" xfId="0" applyNumberFormat="1" applyFont="1" applyFill="1" applyBorder="1" applyAlignment="1">
      <alignment horizontal="center" vertical="center" wrapText="1"/>
    </xf>
    <xf numFmtId="171" fontId="2" fillId="2" borderId="83" xfId="0" applyNumberFormat="1" applyFont="1" applyFill="1" applyBorder="1" applyAlignment="1">
      <alignment horizontal="center" vertical="center" wrapText="1"/>
    </xf>
    <xf numFmtId="171" fontId="2" fillId="13" borderId="23" xfId="0" applyNumberFormat="1" applyFont="1" applyFill="1" applyBorder="1" applyAlignment="1">
      <alignment horizontal="center" vertical="center"/>
    </xf>
    <xf numFmtId="171" fontId="2" fillId="13" borderId="56" xfId="0" applyNumberFormat="1" applyFont="1" applyFill="1" applyBorder="1" applyAlignment="1">
      <alignment horizontal="center" vertical="center"/>
    </xf>
    <xf numFmtId="171" fontId="2" fillId="13" borderId="25" xfId="0" applyNumberFormat="1" applyFont="1" applyFill="1" applyBorder="1" applyAlignment="1">
      <alignment horizontal="center" vertical="center"/>
    </xf>
    <xf numFmtId="0" fontId="44" fillId="8" borderId="53" xfId="0" applyFont="1" applyFill="1" applyBorder="1" applyAlignment="1">
      <alignment horizontal="center" vertical="center"/>
    </xf>
    <xf numFmtId="0" fontId="44" fillId="8" borderId="56" xfId="0" applyFont="1" applyFill="1" applyBorder="1" applyAlignment="1">
      <alignment horizontal="center" vertical="center"/>
    </xf>
    <xf numFmtId="0" fontId="44" fillId="8" borderId="25"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2" fillId="2" borderId="45" xfId="0" applyFont="1" applyFill="1" applyBorder="1" applyAlignment="1">
      <alignment horizontal="center" wrapText="1"/>
    </xf>
    <xf numFmtId="0" fontId="2" fillId="2" borderId="52" xfId="0" applyFont="1" applyFill="1" applyBorder="1" applyAlignment="1">
      <alignment horizontal="center"/>
    </xf>
    <xf numFmtId="0" fontId="2" fillId="2" borderId="61" xfId="0" applyFont="1" applyFill="1" applyBorder="1" applyAlignment="1">
      <alignment horizontal="center"/>
    </xf>
    <xf numFmtId="0" fontId="44" fillId="8" borderId="61" xfId="0" applyFont="1" applyFill="1" applyBorder="1" applyAlignment="1">
      <alignment horizontal="center" vertical="center" wrapText="1"/>
    </xf>
    <xf numFmtId="0" fontId="44" fillId="8" borderId="74" xfId="0" applyFont="1" applyFill="1" applyBorder="1" applyAlignment="1">
      <alignment horizontal="center" vertical="center" wrapText="1"/>
    </xf>
    <xf numFmtId="0" fontId="8" fillId="2" borderId="52" xfId="0" applyFont="1" applyFill="1" applyBorder="1" applyAlignment="1">
      <alignment horizontal="center" vertical="center"/>
    </xf>
    <xf numFmtId="0" fontId="8" fillId="2" borderId="61" xfId="0" applyFont="1" applyFill="1" applyBorder="1" applyAlignment="1">
      <alignment horizontal="center" vertical="center"/>
    </xf>
    <xf numFmtId="0" fontId="8" fillId="2" borderId="63"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166" xfId="0" applyFont="1" applyFill="1" applyBorder="1" applyAlignment="1">
      <alignment horizontal="center" vertical="center"/>
    </xf>
    <xf numFmtId="0" fontId="24" fillId="10" borderId="108" xfId="0" applyFont="1" applyFill="1" applyBorder="1" applyAlignment="1">
      <alignment horizontal="center" wrapText="1"/>
    </xf>
    <xf numFmtId="0" fontId="24" fillId="10" borderId="110" xfId="0" applyFont="1" applyFill="1" applyBorder="1" applyAlignment="1">
      <alignment horizontal="center" wrapText="1"/>
    </xf>
    <xf numFmtId="0" fontId="24" fillId="10" borderId="109" xfId="0" applyFont="1" applyFill="1" applyBorder="1" applyAlignment="1">
      <alignment horizontal="center" wrapText="1"/>
    </xf>
    <xf numFmtId="0" fontId="2" fillId="29" borderId="37" xfId="0" applyFont="1" applyFill="1" applyBorder="1" applyAlignment="1">
      <alignment horizontal="center" wrapText="1"/>
    </xf>
    <xf numFmtId="0" fontId="2" fillId="29" borderId="46" xfId="0" applyFont="1" applyFill="1" applyBorder="1" applyAlignment="1">
      <alignment horizontal="center" wrapText="1"/>
    </xf>
    <xf numFmtId="0" fontId="2" fillId="29" borderId="93" xfId="0" applyFont="1" applyFill="1" applyBorder="1" applyAlignment="1">
      <alignment horizontal="center" wrapText="1"/>
    </xf>
    <xf numFmtId="0" fontId="2" fillId="29" borderId="60" xfId="0" applyFont="1" applyFill="1" applyBorder="1" applyAlignment="1">
      <alignment horizontal="center" wrapText="1"/>
    </xf>
    <xf numFmtId="0" fontId="2" fillId="13" borderId="34" xfId="0" applyFont="1" applyFill="1" applyBorder="1" applyAlignment="1">
      <alignment horizontal="center" wrapText="1"/>
    </xf>
    <xf numFmtId="0" fontId="2" fillId="13" borderId="78" xfId="0" applyFont="1" applyFill="1" applyBorder="1" applyAlignment="1">
      <alignment horizontal="center" wrapText="1"/>
    </xf>
    <xf numFmtId="0" fontId="2" fillId="2" borderId="63" xfId="0" applyFont="1" applyFill="1" applyBorder="1" applyAlignment="1">
      <alignment horizontal="center"/>
    </xf>
    <xf numFmtId="3" fontId="10" fillId="22" borderId="31" xfId="0" applyNumberFormat="1" applyFont="1" applyFill="1" applyBorder="1" applyAlignment="1">
      <alignment horizontal="center"/>
    </xf>
    <xf numFmtId="3" fontId="10" fillId="22" borderId="0" xfId="0" applyNumberFormat="1" applyFont="1" applyFill="1" applyBorder="1" applyAlignment="1">
      <alignment horizontal="center"/>
    </xf>
    <xf numFmtId="3" fontId="10" fillId="22" borderId="59" xfId="0" applyNumberFormat="1" applyFont="1" applyFill="1" applyBorder="1" applyAlignment="1">
      <alignment horizontal="center"/>
    </xf>
    <xf numFmtId="3" fontId="10" fillId="22" borderId="111" xfId="0" applyNumberFormat="1" applyFont="1" applyFill="1" applyBorder="1" applyAlignment="1">
      <alignment horizontal="center"/>
    </xf>
    <xf numFmtId="3" fontId="10" fillId="22" borderId="99" xfId="0" applyNumberFormat="1" applyFont="1" applyFill="1" applyBorder="1" applyAlignment="1">
      <alignment horizontal="center"/>
    </xf>
    <xf numFmtId="3" fontId="10" fillId="22" borderId="80" xfId="0" applyNumberFormat="1" applyFont="1" applyFill="1" applyBorder="1" applyAlignment="1">
      <alignment horizontal="center"/>
    </xf>
    <xf numFmtId="0" fontId="2" fillId="2" borderId="51" xfId="0" applyFont="1" applyFill="1" applyBorder="1" applyAlignment="1">
      <alignment horizontal="center" wrapText="1"/>
    </xf>
    <xf numFmtId="0" fontId="2" fillId="2" borderId="57" xfId="0" applyFont="1" applyFill="1" applyBorder="1" applyAlignment="1">
      <alignment horizontal="center" wrapText="1"/>
    </xf>
    <xf numFmtId="0" fontId="2" fillId="2" borderId="70" xfId="0" applyFont="1" applyFill="1" applyBorder="1" applyAlignment="1">
      <alignment horizontal="center" wrapText="1"/>
    </xf>
    <xf numFmtId="0" fontId="2" fillId="2" borderId="75" xfId="0" applyFont="1" applyFill="1" applyBorder="1" applyAlignment="1">
      <alignment horizontal="center" wrapText="1"/>
    </xf>
    <xf numFmtId="0" fontId="2" fillId="2" borderId="50" xfId="0" applyFont="1" applyFill="1" applyBorder="1" applyAlignment="1">
      <alignment horizontal="center" wrapText="1"/>
    </xf>
    <xf numFmtId="0" fontId="2" fillId="2" borderId="78" xfId="0" applyFont="1" applyFill="1" applyBorder="1" applyAlignment="1">
      <alignment horizontal="center" wrapText="1"/>
    </xf>
    <xf numFmtId="173" fontId="10" fillId="26" borderId="31" xfId="2" applyNumberFormat="1" applyFont="1" applyFill="1" applyBorder="1" applyAlignment="1">
      <alignment horizontal="center"/>
    </xf>
    <xf numFmtId="173" fontId="10" fillId="26" borderId="0" xfId="2" applyNumberFormat="1" applyFont="1" applyFill="1" applyBorder="1" applyAlignment="1">
      <alignment horizontal="center"/>
    </xf>
    <xf numFmtId="173" fontId="10" fillId="26" borderId="120" xfId="2" applyNumberFormat="1" applyFont="1" applyFill="1" applyBorder="1" applyAlignment="1">
      <alignment horizontal="center"/>
    </xf>
    <xf numFmtId="173" fontId="10" fillId="26" borderId="73" xfId="2" applyNumberFormat="1" applyFont="1" applyFill="1" applyBorder="1" applyAlignment="1">
      <alignment horizontal="center"/>
    </xf>
    <xf numFmtId="173" fontId="10" fillId="26" borderId="58" xfId="2" applyNumberFormat="1" applyFont="1" applyFill="1" applyBorder="1" applyAlignment="1">
      <alignment horizontal="center"/>
    </xf>
    <xf numFmtId="173" fontId="10" fillId="26" borderId="121" xfId="2" applyNumberFormat="1" applyFont="1" applyFill="1" applyBorder="1" applyAlignment="1">
      <alignment horizontal="center"/>
    </xf>
    <xf numFmtId="0" fontId="8" fillId="2" borderId="32" xfId="0" applyFont="1" applyFill="1" applyBorder="1" applyAlignment="1">
      <alignment horizontal="center" wrapText="1"/>
    </xf>
    <xf numFmtId="0" fontId="8" fillId="2" borderId="45" xfId="0" applyFont="1" applyFill="1" applyBorder="1" applyAlignment="1">
      <alignment horizontal="center" wrapText="1"/>
    </xf>
    <xf numFmtId="0" fontId="2" fillId="13" borderId="2" xfId="0" applyFont="1" applyFill="1" applyBorder="1" applyAlignment="1">
      <alignment horizontal="center"/>
    </xf>
    <xf numFmtId="0" fontId="2" fillId="13" borderId="45" xfId="0" applyFont="1" applyFill="1" applyBorder="1" applyAlignment="1">
      <alignment horizontal="center"/>
    </xf>
    <xf numFmtId="0" fontId="8" fillId="2" borderId="53" xfId="0" applyFont="1" applyFill="1" applyBorder="1" applyAlignment="1">
      <alignment horizontal="center" vertical="center"/>
    </xf>
    <xf numFmtId="0" fontId="8" fillId="2" borderId="56" xfId="0" applyFont="1" applyFill="1" applyBorder="1" applyAlignment="1">
      <alignment horizontal="center" vertical="center"/>
    </xf>
    <xf numFmtId="0" fontId="8" fillId="2" borderId="25" xfId="0" applyFont="1" applyFill="1" applyBorder="1" applyAlignment="1">
      <alignment horizontal="center" vertical="center"/>
    </xf>
    <xf numFmtId="0" fontId="2" fillId="2" borderId="38" xfId="0" applyFont="1" applyFill="1" applyBorder="1" applyAlignment="1">
      <alignment horizontal="center" wrapText="1"/>
    </xf>
    <xf numFmtId="0" fontId="2" fillId="2" borderId="72" xfId="0" applyFont="1" applyFill="1" applyBorder="1" applyAlignment="1">
      <alignment horizontal="center" wrapText="1"/>
    </xf>
    <xf numFmtId="0" fontId="2" fillId="2" borderId="46" xfId="0" applyFont="1" applyFill="1" applyBorder="1" applyAlignment="1">
      <alignment horizontal="center" wrapText="1"/>
    </xf>
    <xf numFmtId="0" fontId="2" fillId="2" borderId="22" xfId="0" applyFont="1" applyFill="1" applyBorder="1" applyAlignment="1">
      <alignment horizontal="center" wrapText="1"/>
    </xf>
    <xf numFmtId="0" fontId="2" fillId="2" borderId="81" xfId="0" applyFont="1" applyFill="1" applyBorder="1" applyAlignment="1">
      <alignment horizontal="center" wrapText="1"/>
    </xf>
    <xf numFmtId="0" fontId="2" fillId="13" borderId="93" xfId="0" applyFont="1" applyFill="1" applyBorder="1" applyAlignment="1">
      <alignment horizontal="center" wrapText="1"/>
    </xf>
    <xf numFmtId="0" fontId="2" fillId="13" borderId="60" xfId="0" applyFont="1" applyFill="1" applyBorder="1" applyAlignment="1">
      <alignment horizontal="center" wrapText="1"/>
    </xf>
    <xf numFmtId="0" fontId="2" fillId="13" borderId="51" xfId="0" applyFont="1" applyFill="1" applyBorder="1" applyAlignment="1">
      <alignment horizontal="center" wrapText="1"/>
    </xf>
    <xf numFmtId="0" fontId="2" fillId="13" borderId="57" xfId="0" applyFont="1" applyFill="1" applyBorder="1" applyAlignment="1">
      <alignment horizontal="center" wrapText="1"/>
    </xf>
    <xf numFmtId="0" fontId="8" fillId="13" borderId="45" xfId="0" applyFont="1" applyFill="1" applyBorder="1" applyAlignment="1">
      <alignment horizontal="center" wrapText="1"/>
    </xf>
    <xf numFmtId="0" fontId="2" fillId="2" borderId="37" xfId="0" applyFont="1" applyFill="1" applyBorder="1" applyAlignment="1">
      <alignment horizontal="center" wrapText="1"/>
    </xf>
    <xf numFmtId="0" fontId="2" fillId="2" borderId="93" xfId="0" applyFont="1" applyFill="1" applyBorder="1" applyAlignment="1">
      <alignment horizontal="center" wrapText="1"/>
    </xf>
    <xf numFmtId="0" fontId="2" fillId="2" borderId="60" xfId="0" applyFont="1" applyFill="1" applyBorder="1" applyAlignment="1">
      <alignment horizontal="center" wrapText="1"/>
    </xf>
    <xf numFmtId="0" fontId="2" fillId="13" borderId="37" xfId="0" applyFont="1" applyFill="1" applyBorder="1" applyAlignment="1">
      <alignment horizontal="center" wrapText="1"/>
    </xf>
    <xf numFmtId="0" fontId="2" fillId="13" borderId="46" xfId="0" applyFont="1" applyFill="1" applyBorder="1" applyAlignment="1">
      <alignment horizontal="center" wrapText="1"/>
    </xf>
    <xf numFmtId="0" fontId="2" fillId="13" borderId="186" xfId="0" applyFont="1" applyFill="1" applyBorder="1" applyAlignment="1">
      <alignment horizontal="center" wrapText="1"/>
    </xf>
    <xf numFmtId="0" fontId="2" fillId="13" borderId="154" xfId="0" applyFont="1" applyFill="1" applyBorder="1" applyAlignment="1">
      <alignment horizontal="center" wrapText="1"/>
    </xf>
    <xf numFmtId="0" fontId="8" fillId="2" borderId="38" xfId="0" applyFont="1" applyFill="1" applyBorder="1" applyAlignment="1">
      <alignment horizontal="center" wrapText="1"/>
    </xf>
    <xf numFmtId="0" fontId="8" fillId="2" borderId="46" xfId="0" applyFont="1" applyFill="1" applyBorder="1" applyAlignment="1">
      <alignment horizontal="center" wrapText="1"/>
    </xf>
    <xf numFmtId="0" fontId="8" fillId="13" borderId="33" xfId="0" applyFont="1" applyFill="1" applyBorder="1" applyAlignment="1">
      <alignment horizontal="center" wrapText="1"/>
    </xf>
    <xf numFmtId="0" fontId="8" fillId="13" borderId="83" xfId="0" applyFont="1" applyFill="1" applyBorder="1" applyAlignment="1">
      <alignment horizontal="center" wrapText="1"/>
    </xf>
    <xf numFmtId="0" fontId="26" fillId="32" borderId="22" xfId="0" applyFont="1" applyFill="1" applyBorder="1" applyAlignment="1">
      <alignment horizontal="center" wrapText="1"/>
    </xf>
    <xf numFmtId="0" fontId="26" fillId="32" borderId="67" xfId="0" applyFont="1" applyFill="1" applyBorder="1" applyAlignment="1">
      <alignment horizontal="center" wrapText="1"/>
    </xf>
    <xf numFmtId="0" fontId="2" fillId="13" borderId="23" xfId="0" applyFont="1" applyFill="1" applyBorder="1" applyAlignment="1">
      <alignment horizontal="center"/>
    </xf>
    <xf numFmtId="0" fontId="2" fillId="13" borderId="25" xfId="0" applyFont="1" applyFill="1" applyBorder="1" applyAlignment="1">
      <alignment horizontal="center"/>
    </xf>
    <xf numFmtId="0" fontId="23" fillId="10" borderId="127" xfId="0" applyFont="1" applyFill="1" applyBorder="1" applyAlignment="1">
      <alignment horizontal="center" wrapText="1"/>
    </xf>
    <xf numFmtId="0" fontId="23" fillId="10" borderId="0" xfId="0" applyFont="1" applyFill="1" applyBorder="1" applyAlignment="1">
      <alignment horizontal="center" wrapText="1"/>
    </xf>
    <xf numFmtId="0" fontId="23" fillId="10" borderId="95" xfId="0" applyFont="1" applyFill="1" applyBorder="1" applyAlignment="1">
      <alignment horizontal="center" wrapText="1"/>
    </xf>
    <xf numFmtId="0" fontId="23" fillId="10" borderId="98" xfId="0" applyFont="1" applyFill="1" applyBorder="1" applyAlignment="1">
      <alignment horizontal="center" wrapText="1"/>
    </xf>
    <xf numFmtId="0" fontId="23" fillId="10" borderId="128" xfId="0" applyFont="1" applyFill="1" applyBorder="1" applyAlignment="1">
      <alignment horizontal="center" wrapText="1"/>
    </xf>
    <xf numFmtId="0" fontId="23" fillId="10" borderId="96" xfId="0" applyFont="1" applyFill="1" applyBorder="1" applyAlignment="1">
      <alignment horizontal="center" wrapText="1"/>
    </xf>
    <xf numFmtId="0" fontId="23" fillId="10" borderId="97" xfId="0" applyFont="1" applyFill="1" applyBorder="1" applyAlignment="1">
      <alignment horizontal="center" wrapText="1"/>
    </xf>
    <xf numFmtId="0" fontId="8" fillId="2" borderId="18"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2" fillId="2" borderId="36" xfId="0" applyFont="1" applyFill="1" applyBorder="1" applyAlignment="1">
      <alignment horizontal="center" wrapText="1"/>
    </xf>
    <xf numFmtId="0" fontId="2" fillId="2" borderId="74" xfId="0" applyFont="1" applyFill="1" applyBorder="1" applyAlignment="1">
      <alignment horizontal="center" wrapText="1"/>
    </xf>
    <xf numFmtId="0" fontId="8" fillId="2" borderId="51" xfId="0" applyFont="1" applyFill="1" applyBorder="1" applyAlignment="1">
      <alignment horizontal="center" wrapText="1"/>
    </xf>
    <xf numFmtId="0" fontId="8" fillId="2" borderId="78" xfId="0" applyFont="1" applyFill="1" applyBorder="1" applyAlignment="1">
      <alignment horizontal="center" wrapText="1"/>
    </xf>
    <xf numFmtId="0" fontId="8" fillId="13" borderId="32" xfId="0" applyFont="1" applyFill="1" applyBorder="1" applyAlignment="1">
      <alignment horizontal="center"/>
    </xf>
    <xf numFmtId="0" fontId="8" fillId="13" borderId="45" xfId="0" applyFont="1" applyFill="1" applyBorder="1" applyAlignment="1">
      <alignment horizontal="center"/>
    </xf>
    <xf numFmtId="0" fontId="8" fillId="13" borderId="32" xfId="0" applyFont="1" applyFill="1" applyBorder="1" applyAlignment="1">
      <alignment horizontal="center" wrapText="1"/>
    </xf>
    <xf numFmtId="0" fontId="8" fillId="13" borderId="52" xfId="0" applyFont="1" applyFill="1" applyBorder="1" applyAlignment="1">
      <alignment horizontal="center"/>
    </xf>
    <xf numFmtId="0" fontId="8" fillId="13" borderId="61" xfId="0" applyFont="1" applyFill="1" applyBorder="1" applyAlignment="1">
      <alignment horizontal="center"/>
    </xf>
    <xf numFmtId="0" fontId="8" fillId="13" borderId="74" xfId="0" applyFont="1" applyFill="1" applyBorder="1" applyAlignment="1">
      <alignment horizontal="center"/>
    </xf>
    <xf numFmtId="0" fontId="8" fillId="13" borderId="100" xfId="0" applyFont="1" applyFill="1" applyBorder="1" applyAlignment="1">
      <alignment horizontal="center" wrapText="1"/>
    </xf>
    <xf numFmtId="0" fontId="8" fillId="13" borderId="73" xfId="0" applyFont="1" applyFill="1" applyBorder="1" applyAlignment="1">
      <alignment horizontal="center" wrapText="1"/>
    </xf>
    <xf numFmtId="0" fontId="2" fillId="2" borderId="32" xfId="0" applyFont="1" applyFill="1" applyBorder="1" applyAlignment="1">
      <alignment horizontal="center" wrapText="1"/>
    </xf>
    <xf numFmtId="0" fontId="8" fillId="2" borderId="30" xfId="0" applyFont="1" applyFill="1" applyBorder="1" applyAlignment="1">
      <alignment horizontal="center" wrapText="1"/>
    </xf>
    <xf numFmtId="0" fontId="8" fillId="2" borderId="60" xfId="0" applyFont="1" applyFill="1" applyBorder="1" applyAlignment="1">
      <alignment horizont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71" xfId="0" applyFont="1" applyFill="1" applyBorder="1" applyAlignment="1">
      <alignment horizontal="center" vertical="center"/>
    </xf>
    <xf numFmtId="0" fontId="21" fillId="10" borderId="108" xfId="0" applyFont="1" applyFill="1" applyBorder="1" applyAlignment="1">
      <alignment horizontal="center" vertical="center"/>
    </xf>
    <xf numFmtId="0" fontId="21" fillId="10" borderId="109" xfId="0" applyFont="1" applyFill="1" applyBorder="1" applyAlignment="1">
      <alignment horizontal="center" vertical="center"/>
    </xf>
    <xf numFmtId="0" fontId="8" fillId="2" borderId="70" xfId="0" applyFont="1" applyFill="1" applyBorder="1" applyAlignment="1">
      <alignment horizontal="center" wrapText="1"/>
    </xf>
    <xf numFmtId="0" fontId="8" fillId="2" borderId="75" xfId="0" applyFont="1" applyFill="1" applyBorder="1" applyAlignment="1">
      <alignment horizontal="center" wrapText="1"/>
    </xf>
    <xf numFmtId="0" fontId="8" fillId="2" borderId="50" xfId="0" applyFont="1" applyFill="1" applyBorder="1" applyAlignment="1">
      <alignment horizontal="center" wrapText="1"/>
    </xf>
    <xf numFmtId="0" fontId="14" fillId="8" borderId="52" xfId="0" applyFont="1" applyFill="1" applyBorder="1" applyAlignment="1">
      <alignment horizontal="center" vertical="center"/>
    </xf>
    <xf numFmtId="0" fontId="14" fillId="8" borderId="61" xfId="0" applyFont="1" applyFill="1" applyBorder="1" applyAlignment="1">
      <alignment horizontal="center" vertical="center"/>
    </xf>
    <xf numFmtId="0" fontId="8" fillId="2" borderId="18" xfId="0" applyFont="1" applyFill="1" applyBorder="1" applyAlignment="1">
      <alignment horizontal="center"/>
    </xf>
    <xf numFmtId="0" fontId="8" fillId="2" borderId="19" xfId="0" applyFont="1" applyFill="1" applyBorder="1" applyAlignment="1">
      <alignment horizontal="center"/>
    </xf>
    <xf numFmtId="0" fontId="8" fillId="2" borderId="171" xfId="0" applyFont="1" applyFill="1" applyBorder="1" applyAlignment="1">
      <alignment horizontal="center"/>
    </xf>
    <xf numFmtId="0" fontId="2" fillId="2" borderId="18" xfId="0" applyFont="1" applyFill="1" applyBorder="1" applyAlignment="1">
      <alignment horizontal="center"/>
    </xf>
    <xf numFmtId="0" fontId="2" fillId="2" borderId="19" xfId="0" applyFont="1" applyFill="1" applyBorder="1" applyAlignment="1">
      <alignment horizontal="center"/>
    </xf>
    <xf numFmtId="0" fontId="2" fillId="2" borderId="20" xfId="0" applyFont="1" applyFill="1" applyBorder="1" applyAlignment="1">
      <alignment horizontal="center"/>
    </xf>
    <xf numFmtId="0" fontId="2" fillId="2" borderId="1" xfId="0" applyFont="1" applyFill="1" applyBorder="1" applyAlignment="1">
      <alignment horizontal="center" wrapText="1"/>
    </xf>
    <xf numFmtId="0" fontId="2" fillId="2" borderId="10" xfId="0" applyFont="1" applyFill="1" applyBorder="1" applyAlignment="1">
      <alignment horizontal="center" wrapText="1"/>
    </xf>
    <xf numFmtId="0" fontId="2" fillId="2" borderId="8" xfId="0" applyFont="1" applyFill="1" applyBorder="1" applyAlignment="1">
      <alignment horizontal="center" wrapText="1"/>
    </xf>
    <xf numFmtId="0" fontId="2" fillId="2" borderId="11" xfId="0" applyFont="1" applyFill="1" applyBorder="1" applyAlignment="1">
      <alignment horizontal="center" wrapText="1"/>
    </xf>
    <xf numFmtId="0" fontId="14" fillId="8" borderId="81" xfId="0" applyFont="1" applyFill="1" applyBorder="1" applyAlignment="1">
      <alignment horizontal="center"/>
    </xf>
    <xf numFmtId="0" fontId="14" fillId="8" borderId="67" xfId="0" applyFont="1" applyFill="1" applyBorder="1" applyAlignment="1">
      <alignment horizontal="center"/>
    </xf>
    <xf numFmtId="0" fontId="2" fillId="2" borderId="4" xfId="0" applyFont="1" applyFill="1" applyBorder="1" applyAlignment="1">
      <alignment horizontal="center"/>
    </xf>
    <xf numFmtId="0" fontId="2" fillId="2" borderId="9" xfId="0" applyFont="1" applyFill="1" applyBorder="1" applyAlignment="1">
      <alignment horizontal="center"/>
    </xf>
    <xf numFmtId="0" fontId="21" fillId="10" borderId="158" xfId="0" applyFont="1" applyFill="1" applyBorder="1" applyAlignment="1">
      <alignment horizontal="center" wrapText="1"/>
    </xf>
    <xf numFmtId="0" fontId="21" fillId="10" borderId="172" xfId="0" applyFont="1" applyFill="1" applyBorder="1" applyAlignment="1">
      <alignment horizontal="center" wrapText="1"/>
    </xf>
    <xf numFmtId="0" fontId="2" fillId="2" borderId="171" xfId="0" applyFont="1" applyFill="1" applyBorder="1" applyAlignment="1">
      <alignment horizontal="center"/>
    </xf>
    <xf numFmtId="0" fontId="2" fillId="2" borderId="6" xfId="0" applyFont="1" applyFill="1" applyBorder="1" applyAlignment="1">
      <alignment horizontal="center" wrapText="1"/>
    </xf>
    <xf numFmtId="0" fontId="30" fillId="0" borderId="0" xfId="0" applyFont="1" applyAlignment="1">
      <alignment horizontal="center"/>
    </xf>
    <xf numFmtId="0" fontId="24" fillId="10" borderId="85" xfId="0" applyFont="1" applyFill="1" applyBorder="1" applyAlignment="1">
      <alignment horizontal="center" wrapText="1"/>
    </xf>
    <xf numFmtId="0" fontId="24" fillId="10" borderId="86" xfId="0" applyFont="1" applyFill="1" applyBorder="1" applyAlignment="1">
      <alignment horizontal="center" wrapText="1"/>
    </xf>
    <xf numFmtId="0" fontId="2" fillId="13" borderId="32" xfId="0" applyFont="1" applyFill="1" applyBorder="1" applyAlignment="1">
      <alignment horizontal="center" wrapText="1"/>
    </xf>
    <xf numFmtId="0" fontId="16" fillId="10" borderId="133" xfId="0" applyFont="1" applyFill="1" applyBorder="1" applyAlignment="1">
      <alignment horizontal="left" vertical="center"/>
    </xf>
    <xf numFmtId="0" fontId="16" fillId="10" borderId="134" xfId="0" applyFont="1" applyFill="1" applyBorder="1" applyAlignment="1">
      <alignment horizontal="left" vertical="center"/>
    </xf>
    <xf numFmtId="0" fontId="16" fillId="10" borderId="87" xfId="0" applyFont="1" applyFill="1" applyBorder="1" applyAlignment="1">
      <alignment horizontal="left" vertical="center"/>
    </xf>
    <xf numFmtId="0" fontId="16" fillId="0" borderId="0" xfId="0" applyFont="1" applyFill="1" applyBorder="1" applyAlignment="1">
      <alignment horizontal="left" vertical="center"/>
    </xf>
    <xf numFmtId="0" fontId="8" fillId="2" borderId="52" xfId="0" applyFont="1" applyFill="1" applyBorder="1" applyAlignment="1">
      <alignment horizontal="left"/>
    </xf>
    <xf numFmtId="0" fontId="8" fillId="2" borderId="74" xfId="0" applyFont="1" applyFill="1" applyBorder="1" applyAlignment="1">
      <alignment horizontal="left"/>
    </xf>
    <xf numFmtId="0" fontId="8" fillId="13" borderId="43" xfId="0" applyFont="1" applyFill="1" applyBorder="1" applyAlignment="1">
      <alignment horizontal="left"/>
    </xf>
    <xf numFmtId="0" fontId="8" fillId="13" borderId="26" xfId="0" applyFont="1" applyFill="1" applyBorder="1" applyAlignment="1">
      <alignment horizontal="left"/>
    </xf>
    <xf numFmtId="0" fontId="8" fillId="3" borderId="43" xfId="0" applyFont="1" applyFill="1" applyBorder="1" applyAlignment="1">
      <alignment horizontal="left"/>
    </xf>
    <xf numFmtId="0" fontId="8" fillId="3" borderId="26" xfId="0" applyFont="1" applyFill="1" applyBorder="1" applyAlignment="1">
      <alignment horizontal="left"/>
    </xf>
    <xf numFmtId="0" fontId="0" fillId="11" borderId="53" xfId="0" applyFont="1" applyFill="1" applyBorder="1" applyAlignment="1">
      <alignment horizontal="left"/>
    </xf>
    <xf numFmtId="0" fontId="0" fillId="11" borderId="25" xfId="0" applyFont="1" applyFill="1" applyBorder="1" applyAlignment="1">
      <alignment horizontal="left"/>
    </xf>
    <xf numFmtId="0" fontId="0" fillId="3" borderId="53" xfId="0" applyFont="1" applyFill="1" applyBorder="1" applyAlignment="1">
      <alignment horizontal="left"/>
    </xf>
    <xf numFmtId="0" fontId="34" fillId="24" borderId="55" xfId="0" applyFont="1" applyFill="1" applyBorder="1" applyAlignment="1">
      <alignment horizontal="left"/>
    </xf>
    <xf numFmtId="0" fontId="34" fillId="24" borderId="0" xfId="0" applyFont="1" applyFill="1" applyBorder="1" applyAlignment="1">
      <alignment horizontal="left"/>
    </xf>
    <xf numFmtId="0" fontId="0" fillId="2" borderId="43" xfId="0" applyFont="1" applyFill="1" applyBorder="1" applyAlignment="1">
      <alignment horizontal="left"/>
    </xf>
    <xf numFmtId="0" fontId="2" fillId="13" borderId="18" xfId="0" applyFont="1" applyFill="1" applyBorder="1" applyAlignment="1">
      <alignment horizontal="left"/>
    </xf>
    <xf numFmtId="0" fontId="2" fillId="13" borderId="44" xfId="0" applyFont="1" applyFill="1" applyBorder="1" applyAlignment="1">
      <alignment horizontal="left"/>
    </xf>
    <xf numFmtId="0" fontId="14" fillId="24" borderId="18" xfId="0" applyFont="1" applyFill="1" applyBorder="1" applyAlignment="1">
      <alignment horizontal="left"/>
    </xf>
    <xf numFmtId="0" fontId="14" fillId="24" borderId="20" xfId="0" applyFont="1" applyFill="1" applyBorder="1" applyAlignment="1">
      <alignment horizontal="left"/>
    </xf>
    <xf numFmtId="0" fontId="2" fillId="2" borderId="52" xfId="0" applyFont="1" applyFill="1" applyBorder="1" applyAlignment="1">
      <alignment horizontal="left"/>
    </xf>
    <xf numFmtId="0" fontId="2" fillId="2" borderId="74" xfId="0" applyFont="1" applyFill="1" applyBorder="1" applyAlignment="1">
      <alignment horizontal="left"/>
    </xf>
    <xf numFmtId="0" fontId="2" fillId="13" borderId="43" xfId="0" applyFont="1" applyFill="1" applyBorder="1" applyAlignment="1">
      <alignment horizontal="left"/>
    </xf>
    <xf numFmtId="0" fontId="2" fillId="13" borderId="26" xfId="0" applyFont="1" applyFill="1" applyBorder="1" applyAlignment="1">
      <alignment horizontal="left"/>
    </xf>
    <xf numFmtId="0" fontId="0" fillId="2" borderId="53" xfId="0" applyFont="1" applyFill="1" applyBorder="1" applyAlignment="1">
      <alignment horizontal="left"/>
    </xf>
    <xf numFmtId="0" fontId="25" fillId="18" borderId="139" xfId="0" applyFont="1" applyFill="1" applyBorder="1" applyAlignment="1">
      <alignment horizontal="center" vertical="center"/>
    </xf>
    <xf numFmtId="0" fontId="25" fillId="18" borderId="138" xfId="0" applyFont="1" applyFill="1" applyBorder="1" applyAlignment="1">
      <alignment horizontal="center" vertical="center"/>
    </xf>
    <xf numFmtId="0" fontId="8" fillId="13" borderId="70" xfId="0" applyFont="1" applyFill="1" applyBorder="1" applyAlignment="1">
      <alignment horizontal="center" vertical="center"/>
    </xf>
    <xf numFmtId="0" fontId="8" fillId="13" borderId="75" xfId="0" applyFont="1" applyFill="1" applyBorder="1" applyAlignment="1">
      <alignment horizontal="center" vertical="center"/>
    </xf>
    <xf numFmtId="0" fontId="0" fillId="46" borderId="18" xfId="0" applyFont="1" applyFill="1" applyBorder="1" applyAlignment="1">
      <alignment horizontal="center"/>
    </xf>
    <xf numFmtId="0" fontId="0" fillId="46" borderId="19" xfId="0" applyFont="1" applyFill="1" applyBorder="1" applyAlignment="1">
      <alignment horizontal="center"/>
    </xf>
    <xf numFmtId="0" fontId="0" fillId="46" borderId="20" xfId="0" applyFont="1" applyFill="1" applyBorder="1" applyAlignment="1">
      <alignment horizontal="center"/>
    </xf>
    <xf numFmtId="0" fontId="2" fillId="2" borderId="44" xfId="0" applyFont="1" applyFill="1" applyBorder="1" applyAlignment="1">
      <alignment horizontal="center"/>
    </xf>
    <xf numFmtId="0" fontId="2" fillId="13" borderId="18" xfId="0" applyFont="1" applyFill="1" applyBorder="1" applyAlignment="1">
      <alignment horizontal="center"/>
    </xf>
    <xf numFmtId="0" fontId="2" fillId="13" borderId="44" xfId="0" applyFont="1" applyFill="1" applyBorder="1" applyAlignment="1">
      <alignment horizontal="center"/>
    </xf>
    <xf numFmtId="0" fontId="14" fillId="24" borderId="18" xfId="0" applyFont="1" applyFill="1" applyBorder="1" applyAlignment="1">
      <alignment horizontal="center"/>
    </xf>
    <xf numFmtId="0" fontId="14" fillId="24" borderId="20" xfId="0" applyFont="1" applyFill="1" applyBorder="1" applyAlignment="1">
      <alignment horizontal="center"/>
    </xf>
    <xf numFmtId="0" fontId="2" fillId="13" borderId="30" xfId="0" applyFont="1" applyFill="1" applyBorder="1" applyAlignment="1">
      <alignment horizontal="center" wrapText="1"/>
    </xf>
    <xf numFmtId="0" fontId="24" fillId="10" borderId="147" xfId="0" applyFont="1" applyFill="1" applyBorder="1" applyAlignment="1">
      <alignment horizontal="center" wrapText="1"/>
    </xf>
    <xf numFmtId="0" fontId="24" fillId="10" borderId="142" xfId="0" applyFont="1" applyFill="1" applyBorder="1" applyAlignment="1">
      <alignment horizontal="center" wrapText="1"/>
    </xf>
    <xf numFmtId="0" fontId="23" fillId="10" borderId="94" xfId="0" applyFont="1" applyFill="1" applyBorder="1" applyAlignment="1">
      <alignment horizontal="left" vertical="center" wrapText="1"/>
    </xf>
    <xf numFmtId="0" fontId="23" fillId="10" borderId="95" xfId="0" applyFont="1" applyFill="1" applyBorder="1" applyAlignment="1">
      <alignment horizontal="left" vertical="center" wrapText="1"/>
    </xf>
    <xf numFmtId="0" fontId="23" fillId="10" borderId="127" xfId="0" applyFont="1" applyFill="1" applyBorder="1" applyAlignment="1">
      <alignment horizontal="left" vertical="center" wrapText="1"/>
    </xf>
    <xf numFmtId="0" fontId="23" fillId="10" borderId="98" xfId="0" applyFont="1" applyFill="1" applyBorder="1" applyAlignment="1">
      <alignment horizontal="left" vertical="center" wrapText="1"/>
    </xf>
    <xf numFmtId="0" fontId="23" fillId="10" borderId="128" xfId="0" applyFont="1" applyFill="1" applyBorder="1" applyAlignment="1">
      <alignment horizontal="left" vertical="center" wrapText="1"/>
    </xf>
    <xf numFmtId="0" fontId="23" fillId="10" borderId="97" xfId="0" applyFont="1" applyFill="1" applyBorder="1" applyAlignment="1">
      <alignment horizontal="left" vertical="center" wrapText="1"/>
    </xf>
    <xf numFmtId="0" fontId="2" fillId="2" borderId="155" xfId="0" applyFont="1" applyFill="1" applyBorder="1" applyAlignment="1">
      <alignment horizontal="center" wrapText="1"/>
    </xf>
    <xf numFmtId="0" fontId="2" fillId="2" borderId="154" xfId="0" applyFont="1" applyFill="1" applyBorder="1" applyAlignment="1">
      <alignment horizontal="center" wrapText="1"/>
    </xf>
    <xf numFmtId="0" fontId="23" fillId="10" borderId="174" xfId="0" applyFont="1" applyFill="1" applyBorder="1" applyAlignment="1">
      <alignment horizontal="center" vertical="center" wrapText="1"/>
    </xf>
    <xf numFmtId="0" fontId="22" fillId="10" borderId="175" xfId="0" applyFont="1" applyFill="1" applyBorder="1" applyAlignment="1">
      <alignment horizontal="center" vertical="center" wrapText="1"/>
    </xf>
    <xf numFmtId="0" fontId="22" fillId="10" borderId="176" xfId="0" applyFont="1" applyFill="1" applyBorder="1" applyAlignment="1">
      <alignment horizontal="center" vertical="center" wrapText="1"/>
    </xf>
    <xf numFmtId="0" fontId="0" fillId="21" borderId="108" xfId="0" applyFont="1" applyFill="1" applyBorder="1" applyAlignment="1">
      <alignment horizontal="center"/>
    </xf>
    <xf numFmtId="0" fontId="0" fillId="21" borderId="110" xfId="0" applyFont="1" applyFill="1" applyBorder="1" applyAlignment="1">
      <alignment horizontal="center"/>
    </xf>
    <xf numFmtId="0" fontId="0" fillId="21" borderId="109" xfId="0" applyFont="1" applyFill="1" applyBorder="1" applyAlignment="1">
      <alignment horizontal="center"/>
    </xf>
    <xf numFmtId="0" fontId="44" fillId="32" borderId="36" xfId="0" applyFont="1" applyFill="1" applyBorder="1" applyAlignment="1">
      <alignment horizontal="center" vertical="center" wrapText="1"/>
    </xf>
    <xf numFmtId="0" fontId="44" fillId="32" borderId="61" xfId="0" applyFont="1" applyFill="1" applyBorder="1" applyAlignment="1">
      <alignment horizontal="center" vertical="center" wrapText="1"/>
    </xf>
    <xf numFmtId="0" fontId="44" fillId="32" borderId="63" xfId="0" applyFont="1" applyFill="1" applyBorder="1" applyAlignment="1">
      <alignment horizontal="center" vertical="center" wrapText="1"/>
    </xf>
    <xf numFmtId="0" fontId="26" fillId="32" borderId="22" xfId="0" applyFont="1" applyFill="1" applyBorder="1" applyAlignment="1">
      <alignment horizontal="center" vertical="center" wrapText="1"/>
    </xf>
    <xf numFmtId="0" fontId="26" fillId="32" borderId="67" xfId="0" applyFont="1" applyFill="1" applyBorder="1" applyAlignment="1">
      <alignment horizontal="center" vertical="center" wrapText="1"/>
    </xf>
    <xf numFmtId="0" fontId="10" fillId="43" borderId="28" xfId="0" applyFont="1" applyFill="1" applyBorder="1" applyAlignment="1">
      <alignment horizontal="center"/>
    </xf>
    <xf numFmtId="0" fontId="10" fillId="43" borderId="29" xfId="0" applyFont="1" applyFill="1" applyBorder="1" applyAlignment="1">
      <alignment horizontal="center"/>
    </xf>
    <xf numFmtId="0" fontId="10" fillId="43" borderId="30" xfId="0" applyFont="1" applyFill="1" applyBorder="1" applyAlignment="1">
      <alignment horizontal="center"/>
    </xf>
    <xf numFmtId="0" fontId="10" fillId="43" borderId="54" xfId="0" applyFont="1" applyFill="1" applyBorder="1" applyAlignment="1">
      <alignment horizontal="center"/>
    </xf>
    <xf numFmtId="0" fontId="10" fillId="43" borderId="58" xfId="0" applyFont="1" applyFill="1" applyBorder="1" applyAlignment="1">
      <alignment horizontal="center"/>
    </xf>
    <xf numFmtId="0" fontId="10" fillId="43" borderId="60" xfId="0" applyFont="1" applyFill="1" applyBorder="1" applyAlignment="1">
      <alignment horizontal="center"/>
    </xf>
    <xf numFmtId="0" fontId="0" fillId="5" borderId="28" xfId="0" applyFont="1" applyFill="1" applyBorder="1" applyAlignment="1">
      <alignment horizontal="center"/>
    </xf>
    <xf numFmtId="0" fontId="0" fillId="5" borderId="29" xfId="0" applyFont="1" applyFill="1" applyBorder="1" applyAlignment="1">
      <alignment horizontal="center"/>
    </xf>
    <xf numFmtId="0" fontId="0" fillId="5" borderId="51" xfId="0" applyFont="1" applyFill="1" applyBorder="1" applyAlignment="1">
      <alignment horizontal="center"/>
    </xf>
    <xf numFmtId="0" fontId="0" fillId="5" borderId="55" xfId="0" applyFont="1" applyFill="1" applyBorder="1" applyAlignment="1">
      <alignment horizontal="center"/>
    </xf>
    <xf numFmtId="0" fontId="0" fillId="5" borderId="0" xfId="0" applyFont="1" applyFill="1" applyBorder="1" applyAlignment="1">
      <alignment horizontal="center"/>
    </xf>
    <xf numFmtId="0" fontId="0" fillId="5" borderId="57" xfId="0" applyFont="1" applyFill="1" applyBorder="1" applyAlignment="1">
      <alignment horizontal="center"/>
    </xf>
    <xf numFmtId="0" fontId="0" fillId="5" borderId="54" xfId="0" applyFont="1" applyFill="1" applyBorder="1" applyAlignment="1">
      <alignment horizontal="center"/>
    </xf>
    <xf numFmtId="0" fontId="0" fillId="5" borderId="58" xfId="0" applyFont="1" applyFill="1" applyBorder="1" applyAlignment="1">
      <alignment horizontal="center"/>
    </xf>
    <xf numFmtId="0" fontId="0" fillId="5" borderId="78" xfId="0" applyFont="1" applyFill="1" applyBorder="1" applyAlignment="1">
      <alignment horizontal="center"/>
    </xf>
    <xf numFmtId="0" fontId="0" fillId="5" borderId="100" xfId="0" applyFont="1" applyFill="1" applyBorder="1" applyAlignment="1">
      <alignment horizontal="center"/>
    </xf>
    <xf numFmtId="0" fontId="0" fillId="5" borderId="31" xfId="0" applyFont="1" applyFill="1" applyBorder="1" applyAlignment="1">
      <alignment horizontal="center"/>
    </xf>
    <xf numFmtId="0" fontId="0" fillId="5" borderId="73" xfId="0" applyFont="1" applyFill="1" applyBorder="1" applyAlignment="1">
      <alignment horizontal="center"/>
    </xf>
    <xf numFmtId="0" fontId="0" fillId="44" borderId="100" xfId="0" applyFont="1" applyFill="1" applyBorder="1" applyAlignment="1">
      <alignment horizontal="center"/>
    </xf>
    <xf numFmtId="0" fontId="0" fillId="44" borderId="29" xfId="0" applyFont="1" applyFill="1" applyBorder="1" applyAlignment="1">
      <alignment horizontal="center"/>
    </xf>
    <xf numFmtId="0" fontId="0" fillId="44" borderId="30" xfId="0" applyFont="1" applyFill="1" applyBorder="1" applyAlignment="1">
      <alignment horizontal="center"/>
    </xf>
    <xf numFmtId="0" fontId="0" fillId="44" borderId="31" xfId="0" applyFont="1" applyFill="1" applyBorder="1" applyAlignment="1">
      <alignment horizontal="center"/>
    </xf>
    <xf numFmtId="0" fontId="0" fillId="44" borderId="0" xfId="0" applyFont="1" applyFill="1" applyBorder="1" applyAlignment="1">
      <alignment horizontal="center"/>
    </xf>
    <xf numFmtId="0" fontId="0" fillId="44" borderId="59" xfId="0" applyFont="1" applyFill="1" applyBorder="1" applyAlignment="1">
      <alignment horizontal="center"/>
    </xf>
    <xf numFmtId="0" fontId="0" fillId="44" borderId="73" xfId="0" applyFont="1" applyFill="1" applyBorder="1" applyAlignment="1">
      <alignment horizontal="center"/>
    </xf>
    <xf numFmtId="0" fontId="0" fillId="44" borderId="58" xfId="0" applyFont="1" applyFill="1" applyBorder="1" applyAlignment="1">
      <alignment horizontal="center"/>
    </xf>
    <xf numFmtId="0" fontId="0" fillId="44" borderId="60" xfId="0" applyFont="1" applyFill="1" applyBorder="1" applyAlignment="1">
      <alignment horizontal="center"/>
    </xf>
    <xf numFmtId="0" fontId="26" fillId="32" borderId="81" xfId="0" applyFont="1" applyFill="1" applyBorder="1" applyAlignment="1">
      <alignment horizontal="center" wrapText="1"/>
    </xf>
    <xf numFmtId="168" fontId="16" fillId="10" borderId="178" xfId="0" applyNumberFormat="1" applyFont="1" applyFill="1" applyBorder="1" applyAlignment="1">
      <alignment horizontal="center"/>
    </xf>
    <xf numFmtId="168" fontId="16" fillId="10" borderId="179" xfId="0" applyNumberFormat="1" applyFont="1" applyFill="1" applyBorder="1" applyAlignment="1">
      <alignment horizontal="center"/>
    </xf>
    <xf numFmtId="168" fontId="16" fillId="10" borderId="97" xfId="0" applyNumberFormat="1" applyFont="1" applyFill="1" applyBorder="1" applyAlignment="1">
      <alignment horizontal="center"/>
    </xf>
    <xf numFmtId="0" fontId="44" fillId="32" borderId="74" xfId="0" applyFont="1" applyFill="1" applyBorder="1" applyAlignment="1">
      <alignment horizontal="center" wrapText="1"/>
    </xf>
    <xf numFmtId="0" fontId="11" fillId="2" borderId="18"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18"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0" fillId="2" borderId="28" xfId="0" applyFont="1" applyFill="1" applyBorder="1" applyAlignment="1">
      <alignment horizontal="center" textRotation="90" wrapText="1"/>
    </xf>
    <xf numFmtId="0" fontId="0" fillId="2" borderId="55" xfId="0" applyFont="1" applyFill="1" applyBorder="1" applyAlignment="1">
      <alignment horizontal="center" textRotation="90" wrapText="1"/>
    </xf>
    <xf numFmtId="0" fontId="0" fillId="2" borderId="54" xfId="0" applyFont="1" applyFill="1" applyBorder="1" applyAlignment="1">
      <alignment horizontal="center" textRotation="90" wrapText="1"/>
    </xf>
    <xf numFmtId="0" fontId="2" fillId="2" borderId="100" xfId="0" applyFont="1" applyFill="1" applyBorder="1" applyAlignment="1">
      <alignment horizontal="center" wrapText="1"/>
    </xf>
    <xf numFmtId="0" fontId="2" fillId="2" borderId="31" xfId="0" applyFont="1" applyFill="1" applyBorder="1" applyAlignment="1">
      <alignment horizontal="center" wrapText="1"/>
    </xf>
    <xf numFmtId="0" fontId="2" fillId="2" borderId="73" xfId="0" applyFont="1" applyFill="1" applyBorder="1" applyAlignment="1">
      <alignment horizontal="center" wrapText="1"/>
    </xf>
    <xf numFmtId="0" fontId="2" fillId="2" borderId="27" xfId="0" applyFont="1" applyFill="1" applyBorder="1" applyAlignment="1">
      <alignment horizontal="center" wrapText="1"/>
    </xf>
    <xf numFmtId="0" fontId="36" fillId="2" borderId="70" xfId="0" applyFont="1" applyFill="1" applyBorder="1" applyAlignment="1">
      <alignment horizontal="center" wrapText="1"/>
    </xf>
    <xf numFmtId="0" fontId="36" fillId="2" borderId="49" xfId="0" applyFont="1" applyFill="1" applyBorder="1" applyAlignment="1">
      <alignment horizontal="center" wrapText="1"/>
    </xf>
    <xf numFmtId="0" fontId="2" fillId="2" borderId="28"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76" xfId="0" applyFont="1" applyFill="1" applyBorder="1" applyAlignment="1">
      <alignment horizontal="center" vertical="center" wrapText="1"/>
    </xf>
    <xf numFmtId="0" fontId="2" fillId="2" borderId="82" xfId="0" applyFont="1" applyFill="1" applyBorder="1" applyAlignment="1">
      <alignment horizontal="center" vertical="center" wrapText="1"/>
    </xf>
    <xf numFmtId="0" fontId="25" fillId="18" borderId="102" xfId="0" applyFont="1" applyFill="1" applyBorder="1" applyAlignment="1">
      <alignment horizontal="center" vertical="center" wrapText="1"/>
    </xf>
    <xf numFmtId="0" fontId="25" fillId="18" borderId="103" xfId="0" applyFont="1" applyFill="1" applyBorder="1" applyAlignment="1">
      <alignment horizontal="center" vertical="center" wrapText="1"/>
    </xf>
    <xf numFmtId="0" fontId="25" fillId="18" borderId="104" xfId="0" applyFont="1" applyFill="1" applyBorder="1" applyAlignment="1">
      <alignment horizontal="center" vertical="center" wrapText="1"/>
    </xf>
    <xf numFmtId="0" fontId="0" fillId="2" borderId="62" xfId="0" applyFont="1" applyFill="1" applyBorder="1" applyAlignment="1">
      <alignment horizontal="left"/>
    </xf>
    <xf numFmtId="0" fontId="2" fillId="13" borderId="4" xfId="0" applyFont="1" applyFill="1" applyBorder="1" applyAlignment="1">
      <alignment horizontal="center"/>
    </xf>
    <xf numFmtId="0" fontId="2" fillId="13" borderId="6" xfId="0" applyFont="1" applyFill="1" applyBorder="1" applyAlignment="1">
      <alignment horizontal="center"/>
    </xf>
    <xf numFmtId="0" fontId="2" fillId="0" borderId="0" xfId="0" applyFont="1" applyFill="1" applyBorder="1" applyAlignment="1">
      <alignment horizontal="center"/>
    </xf>
    <xf numFmtId="0" fontId="0" fillId="2" borderId="56" xfId="0" applyFont="1" applyFill="1" applyBorder="1" applyAlignment="1">
      <alignment horizontal="left"/>
    </xf>
    <xf numFmtId="0" fontId="14" fillId="14" borderId="52" xfId="0" applyFont="1" applyFill="1" applyBorder="1" applyAlignment="1">
      <alignment horizontal="left"/>
    </xf>
    <xf numFmtId="0" fontId="14" fillId="14" borderId="63" xfId="0" applyFont="1" applyFill="1" applyBorder="1" applyAlignment="1">
      <alignment horizontal="left"/>
    </xf>
    <xf numFmtId="0" fontId="8" fillId="2" borderId="20" xfId="0" applyFont="1" applyFill="1" applyBorder="1" applyAlignment="1">
      <alignment horizontal="center"/>
    </xf>
  </cellXfs>
  <cellStyles count="9">
    <cellStyle name="Comma" xfId="3" builtinId="3"/>
    <cellStyle name="Comma 2" xfId="5"/>
    <cellStyle name="Currency" xfId="1" builtinId="4"/>
    <cellStyle name="Date-d/mm/yy" xfId="7"/>
    <cellStyle name="Date-mmm/yy" xfId="8"/>
    <cellStyle name="Normal" xfId="0" builtinId="0"/>
    <cellStyle name="Normal 2" xfId="4"/>
    <cellStyle name="Percent" xfId="2" builtinId="5"/>
    <cellStyle name="Percent 2" xfId="6"/>
  </cellStyles>
  <dxfs count="0"/>
  <tableStyles count="0" defaultTableStyle="TableStyleMedium9" defaultPivotStyle="PivotStyleLight16"/>
  <colors>
    <mruColors>
      <color rgb="FF95B3D7"/>
      <color rgb="FFFFD28F"/>
      <color rgb="FFFFC269"/>
      <color rgb="FF3B5A6F"/>
      <color rgb="FF94B2C6"/>
      <color rgb="FFA8C0D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476250</xdr:colOff>
      <xdr:row>5</xdr:row>
      <xdr:rowOff>66675</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609600" y="190500"/>
          <a:ext cx="1695450" cy="981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18</xdr:col>
      <xdr:colOff>342900</xdr:colOff>
      <xdr:row>5</xdr:row>
      <xdr:rowOff>19050</xdr:rowOff>
    </xdr:from>
    <xdr:to>
      <xdr:col>18</xdr:col>
      <xdr:colOff>352425</xdr:colOff>
      <xdr:row>6</xdr:row>
      <xdr:rowOff>95400</xdr:rowOff>
    </xdr:to>
    <xdr:cxnSp macro="">
      <xdr:nvCxnSpPr>
        <xdr:cNvPr id="3" name="Straight Arrow Connector 2"/>
        <xdr:cNvCxnSpPr/>
      </xdr:nvCxnSpPr>
      <xdr:spPr>
        <a:xfrm>
          <a:off x="13468350" y="981075"/>
          <a:ext cx="9525" cy="324000"/>
        </a:xfrm>
        <a:prstGeom prst="straightConnector1">
          <a:avLst/>
        </a:prstGeom>
        <a:ln w="12700" cap="rnd" cmpd="sng">
          <a:solidFill>
            <a:schemeClr val="accent2">
              <a:lumMod val="75000"/>
            </a:schemeClr>
          </a:solidFill>
          <a:prstDash val="dash"/>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238125</xdr:colOff>
      <xdr:row>5</xdr:row>
      <xdr:rowOff>133350</xdr:rowOff>
    </xdr:from>
    <xdr:to>
      <xdr:col>21</xdr:col>
      <xdr:colOff>304800</xdr:colOff>
      <xdr:row>5</xdr:row>
      <xdr:rowOff>133350</xdr:rowOff>
    </xdr:to>
    <xdr:cxnSp macro="">
      <xdr:nvCxnSpPr>
        <xdr:cNvPr id="8" name="Straight Arrow Connector 7"/>
        <xdr:cNvCxnSpPr/>
      </xdr:nvCxnSpPr>
      <xdr:spPr>
        <a:xfrm>
          <a:off x="14611350" y="1095375"/>
          <a:ext cx="676275" cy="0"/>
        </a:xfrm>
        <a:prstGeom prst="straightConnector1">
          <a:avLst/>
        </a:prstGeom>
        <a:ln w="12700">
          <a:solidFill>
            <a:schemeClr val="accent2">
              <a:lumMod val="75000"/>
            </a:schemeClr>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1590675</xdr:colOff>
      <xdr:row>11</xdr:row>
      <xdr:rowOff>104775</xdr:rowOff>
    </xdr:from>
    <xdr:to>
      <xdr:col>4</xdr:col>
      <xdr:colOff>1806675</xdr:colOff>
      <xdr:row>11</xdr:row>
      <xdr:rowOff>104776</xdr:rowOff>
    </xdr:to>
    <xdr:cxnSp macro="">
      <xdr:nvCxnSpPr>
        <xdr:cNvPr id="3" name="Straight Arrow Connector 2"/>
        <xdr:cNvCxnSpPr/>
      </xdr:nvCxnSpPr>
      <xdr:spPr>
        <a:xfrm flipV="1">
          <a:off x="4848225" y="2600325"/>
          <a:ext cx="216000" cy="1"/>
        </a:xfrm>
        <a:prstGeom prst="straightConnector1">
          <a:avLst/>
        </a:prstGeom>
        <a:ln>
          <a:solidFill>
            <a:schemeClr val="accent2">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19050</xdr:colOff>
      <xdr:row>11</xdr:row>
      <xdr:rowOff>104775</xdr:rowOff>
    </xdr:from>
    <xdr:to>
      <xdr:col>4</xdr:col>
      <xdr:colOff>1125</xdr:colOff>
      <xdr:row>11</xdr:row>
      <xdr:rowOff>104776</xdr:rowOff>
    </xdr:to>
    <xdr:cxnSp macro="">
      <xdr:nvCxnSpPr>
        <xdr:cNvPr id="7" name="Straight Arrow Connector 6"/>
        <xdr:cNvCxnSpPr/>
      </xdr:nvCxnSpPr>
      <xdr:spPr>
        <a:xfrm flipV="1">
          <a:off x="3114675" y="2600325"/>
          <a:ext cx="144000" cy="1"/>
        </a:xfrm>
        <a:prstGeom prst="straightConnector1">
          <a:avLst/>
        </a:prstGeom>
        <a:ln>
          <a:solidFill>
            <a:schemeClr val="accent2">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3:K41"/>
  <sheetViews>
    <sheetView workbookViewId="0">
      <selection activeCell="F5" sqref="F5"/>
    </sheetView>
  </sheetViews>
  <sheetFormatPr defaultRowHeight="15"/>
  <cols>
    <col min="1" max="1" width="9.140625" customWidth="1"/>
  </cols>
  <sheetData>
    <row r="3" spans="2:11" ht="26.25">
      <c r="F3" s="472" t="s">
        <v>363</v>
      </c>
    </row>
    <row r="4" spans="2:11" ht="15.75">
      <c r="F4" s="471" t="s">
        <v>387</v>
      </c>
    </row>
    <row r="8" spans="2:11" ht="21">
      <c r="B8" s="1152" t="s">
        <v>353</v>
      </c>
      <c r="C8" s="1152"/>
      <c r="D8" s="1152"/>
      <c r="E8" s="1152"/>
    </row>
    <row r="11" spans="2:11" ht="15" customHeight="1">
      <c r="B11" s="1206" t="s">
        <v>356</v>
      </c>
      <c r="C11" s="1206"/>
      <c r="D11" s="1206"/>
      <c r="E11" s="1206"/>
      <c r="F11" s="1206"/>
      <c r="G11" s="1206"/>
      <c r="H11" s="1206"/>
      <c r="I11" s="1206"/>
      <c r="J11" s="1206"/>
      <c r="K11" s="1206"/>
    </row>
    <row r="12" spans="2:11">
      <c r="B12" s="1206"/>
      <c r="C12" s="1206"/>
      <c r="D12" s="1206"/>
      <c r="E12" s="1206"/>
      <c r="F12" s="1206"/>
      <c r="G12" s="1206"/>
      <c r="H12" s="1206"/>
      <c r="I12" s="1206"/>
      <c r="J12" s="1206"/>
      <c r="K12" s="1206"/>
    </row>
    <row r="13" spans="2:11" ht="15.75" customHeight="1">
      <c r="B13" s="1206"/>
      <c r="C13" s="1206"/>
      <c r="D13" s="1206"/>
      <c r="E13" s="1206"/>
      <c r="F13" s="1206"/>
      <c r="G13" s="1206"/>
      <c r="H13" s="1206"/>
      <c r="I13" s="1206"/>
      <c r="J13" s="1206"/>
      <c r="K13" s="1206"/>
    </row>
    <row r="14" spans="2:11" ht="15.75" customHeight="1">
      <c r="B14" s="1206"/>
      <c r="C14" s="1206"/>
      <c r="D14" s="1206"/>
      <c r="E14" s="1206"/>
      <c r="F14" s="1206"/>
      <c r="G14" s="1206"/>
      <c r="H14" s="1206"/>
      <c r="I14" s="1206"/>
      <c r="J14" s="1206"/>
      <c r="K14" s="1206"/>
    </row>
    <row r="15" spans="2:11" ht="15.75" customHeight="1">
      <c r="B15" s="1206"/>
      <c r="C15" s="1206"/>
      <c r="D15" s="1206"/>
      <c r="E15" s="1206"/>
      <c r="F15" s="1206"/>
      <c r="G15" s="1206"/>
      <c r="H15" s="1206"/>
      <c r="I15" s="1206"/>
      <c r="J15" s="1206"/>
      <c r="K15" s="1206"/>
    </row>
    <row r="16" spans="2:11" ht="17.25" customHeight="1">
      <c r="B16" s="1206"/>
      <c r="C16" s="1206"/>
      <c r="D16" s="1206"/>
      <c r="E16" s="1206"/>
      <c r="F16" s="1206"/>
      <c r="G16" s="1206"/>
      <c r="H16" s="1206"/>
      <c r="I16" s="1206"/>
      <c r="J16" s="1206"/>
      <c r="K16" s="1206"/>
    </row>
    <row r="17" spans="2:11">
      <c r="B17" s="1206"/>
      <c r="C17" s="1206"/>
      <c r="D17" s="1206"/>
      <c r="E17" s="1206"/>
      <c r="F17" s="1206"/>
      <c r="G17" s="1206"/>
      <c r="H17" s="1206"/>
      <c r="I17" s="1206"/>
      <c r="J17" s="1206"/>
      <c r="K17" s="1206"/>
    </row>
    <row r="18" spans="2:11">
      <c r="B18" s="1206"/>
      <c r="C18" s="1206"/>
      <c r="D18" s="1206"/>
      <c r="E18" s="1206"/>
      <c r="F18" s="1206"/>
      <c r="G18" s="1206"/>
      <c r="H18" s="1206"/>
      <c r="I18" s="1206"/>
      <c r="J18" s="1206"/>
      <c r="K18" s="1206"/>
    </row>
    <row r="19" spans="2:11">
      <c r="B19" s="1206"/>
      <c r="C19" s="1206"/>
      <c r="D19" s="1206"/>
      <c r="E19" s="1206"/>
      <c r="F19" s="1206"/>
      <c r="G19" s="1206"/>
      <c r="H19" s="1206"/>
      <c r="I19" s="1206"/>
      <c r="J19" s="1206"/>
      <c r="K19" s="1206"/>
    </row>
    <row r="20" spans="2:11">
      <c r="B20" s="1206"/>
      <c r="C20" s="1206"/>
      <c r="D20" s="1206"/>
      <c r="E20" s="1206"/>
      <c r="F20" s="1206"/>
      <c r="G20" s="1206"/>
      <c r="H20" s="1206"/>
      <c r="I20" s="1206"/>
      <c r="J20" s="1206"/>
      <c r="K20" s="1206"/>
    </row>
    <row r="21" spans="2:11">
      <c r="B21" s="1206"/>
      <c r="C21" s="1206"/>
      <c r="D21" s="1206"/>
      <c r="E21" s="1206"/>
      <c r="F21" s="1206"/>
      <c r="G21" s="1206"/>
      <c r="H21" s="1206"/>
      <c r="I21" s="1206"/>
      <c r="J21" s="1206"/>
      <c r="K21" s="1206"/>
    </row>
    <row r="22" spans="2:11">
      <c r="B22" s="1206"/>
      <c r="C22" s="1206"/>
      <c r="D22" s="1206"/>
      <c r="E22" s="1206"/>
      <c r="F22" s="1206"/>
      <c r="G22" s="1206"/>
      <c r="H22" s="1206"/>
      <c r="I22" s="1206"/>
      <c r="J22" s="1206"/>
      <c r="K22" s="1206"/>
    </row>
    <row r="23" spans="2:11">
      <c r="B23" s="1206"/>
      <c r="C23" s="1206"/>
      <c r="D23" s="1206"/>
      <c r="E23" s="1206"/>
      <c r="F23" s="1206"/>
      <c r="G23" s="1206"/>
      <c r="H23" s="1206"/>
      <c r="I23" s="1206"/>
      <c r="J23" s="1206"/>
      <c r="K23" s="1206"/>
    </row>
    <row r="24" spans="2:11">
      <c r="B24" s="1206"/>
      <c r="C24" s="1206"/>
      <c r="D24" s="1206"/>
      <c r="E24" s="1206"/>
      <c r="F24" s="1206"/>
      <c r="G24" s="1206"/>
      <c r="H24" s="1206"/>
      <c r="I24" s="1206"/>
      <c r="J24" s="1206"/>
      <c r="K24" s="1206"/>
    </row>
    <row r="25" spans="2:11">
      <c r="B25" s="1206"/>
      <c r="C25" s="1206"/>
      <c r="D25" s="1206"/>
      <c r="E25" s="1206"/>
      <c r="F25" s="1206"/>
      <c r="G25" s="1206"/>
      <c r="H25" s="1206"/>
      <c r="I25" s="1206"/>
      <c r="J25" s="1206"/>
      <c r="K25" s="1206"/>
    </row>
    <row r="26" spans="2:11">
      <c r="B26" s="1206"/>
      <c r="C26" s="1206"/>
      <c r="D26" s="1206"/>
      <c r="E26" s="1206"/>
      <c r="F26" s="1206"/>
      <c r="G26" s="1206"/>
      <c r="H26" s="1206"/>
      <c r="I26" s="1206"/>
      <c r="J26" s="1206"/>
      <c r="K26" s="1206"/>
    </row>
    <row r="27" spans="2:11">
      <c r="B27" s="1206"/>
      <c r="C27" s="1206"/>
      <c r="D27" s="1206"/>
      <c r="E27" s="1206"/>
      <c r="F27" s="1206"/>
      <c r="G27" s="1206"/>
      <c r="H27" s="1206"/>
      <c r="I27" s="1206"/>
      <c r="J27" s="1206"/>
      <c r="K27" s="1206"/>
    </row>
    <row r="28" spans="2:11">
      <c r="B28" s="1206"/>
      <c r="C28" s="1206"/>
      <c r="D28" s="1206"/>
      <c r="E28" s="1206"/>
      <c r="F28" s="1206"/>
      <c r="G28" s="1206"/>
      <c r="H28" s="1206"/>
      <c r="I28" s="1206"/>
      <c r="J28" s="1206"/>
      <c r="K28" s="1206"/>
    </row>
    <row r="29" spans="2:11">
      <c r="B29" s="1206"/>
      <c r="C29" s="1206"/>
      <c r="D29" s="1206"/>
      <c r="E29" s="1206"/>
      <c r="F29" s="1206"/>
      <c r="G29" s="1206"/>
      <c r="H29" s="1206"/>
      <c r="I29" s="1206"/>
      <c r="J29" s="1206"/>
      <c r="K29" s="1206"/>
    </row>
    <row r="30" spans="2:11">
      <c r="B30" s="1206"/>
      <c r="C30" s="1206"/>
      <c r="D30" s="1206"/>
      <c r="E30" s="1206"/>
      <c r="F30" s="1206"/>
      <c r="G30" s="1206"/>
      <c r="H30" s="1206"/>
      <c r="I30" s="1206"/>
      <c r="J30" s="1206"/>
      <c r="K30" s="1206"/>
    </row>
    <row r="31" spans="2:11">
      <c r="B31" s="1206"/>
      <c r="C31" s="1206"/>
      <c r="D31" s="1206"/>
      <c r="E31" s="1206"/>
      <c r="F31" s="1206"/>
      <c r="G31" s="1206"/>
      <c r="H31" s="1206"/>
      <c r="I31" s="1206"/>
      <c r="J31" s="1206"/>
      <c r="K31" s="1206"/>
    </row>
    <row r="32" spans="2:11">
      <c r="B32" s="1206"/>
      <c r="C32" s="1206"/>
      <c r="D32" s="1206"/>
      <c r="E32" s="1206"/>
      <c r="F32" s="1206"/>
      <c r="G32" s="1206"/>
      <c r="H32" s="1206"/>
      <c r="I32" s="1206"/>
      <c r="J32" s="1206"/>
      <c r="K32" s="1206"/>
    </row>
    <row r="33" spans="2:11">
      <c r="B33" s="1206"/>
      <c r="C33" s="1206"/>
      <c r="D33" s="1206"/>
      <c r="E33" s="1206"/>
      <c r="F33" s="1206"/>
      <c r="G33" s="1206"/>
      <c r="H33" s="1206"/>
      <c r="I33" s="1206"/>
      <c r="J33" s="1206"/>
      <c r="K33" s="1206"/>
    </row>
    <row r="34" spans="2:11">
      <c r="B34" s="1206"/>
      <c r="C34" s="1206"/>
      <c r="D34" s="1206"/>
      <c r="E34" s="1206"/>
      <c r="F34" s="1206"/>
      <c r="G34" s="1206"/>
      <c r="H34" s="1206"/>
      <c r="I34" s="1206"/>
      <c r="J34" s="1206"/>
      <c r="K34" s="1206"/>
    </row>
    <row r="35" spans="2:11">
      <c r="B35" s="1206"/>
      <c r="C35" s="1206"/>
      <c r="D35" s="1206"/>
      <c r="E35" s="1206"/>
      <c r="F35" s="1206"/>
      <c r="G35" s="1206"/>
      <c r="H35" s="1206"/>
      <c r="I35" s="1206"/>
      <c r="J35" s="1206"/>
      <c r="K35" s="1206"/>
    </row>
    <row r="36" spans="2:11">
      <c r="B36" s="1206"/>
      <c r="C36" s="1206"/>
      <c r="D36" s="1206"/>
      <c r="E36" s="1206"/>
      <c r="F36" s="1206"/>
      <c r="G36" s="1206"/>
      <c r="H36" s="1206"/>
      <c r="I36" s="1206"/>
      <c r="J36" s="1206"/>
      <c r="K36" s="1206"/>
    </row>
    <row r="37" spans="2:11">
      <c r="B37" s="1206"/>
      <c r="C37" s="1206"/>
      <c r="D37" s="1206"/>
      <c r="E37" s="1206"/>
      <c r="F37" s="1206"/>
      <c r="G37" s="1206"/>
      <c r="H37" s="1206"/>
      <c r="I37" s="1206"/>
      <c r="J37" s="1206"/>
      <c r="K37" s="1206"/>
    </row>
    <row r="38" spans="2:11">
      <c r="B38" s="1206"/>
      <c r="C38" s="1206"/>
      <c r="D38" s="1206"/>
      <c r="E38" s="1206"/>
      <c r="F38" s="1206"/>
      <c r="G38" s="1206"/>
      <c r="H38" s="1206"/>
      <c r="I38" s="1206"/>
      <c r="J38" s="1206"/>
      <c r="K38" s="1206"/>
    </row>
    <row r="39" spans="2:11">
      <c r="B39" s="1206"/>
      <c r="C39" s="1206"/>
      <c r="D39" s="1206"/>
      <c r="E39" s="1206"/>
      <c r="F39" s="1206"/>
      <c r="G39" s="1206"/>
      <c r="H39" s="1206"/>
      <c r="I39" s="1206"/>
      <c r="J39" s="1206"/>
      <c r="K39" s="1206"/>
    </row>
    <row r="40" spans="2:11">
      <c r="B40" s="1206"/>
      <c r="C40" s="1206"/>
      <c r="D40" s="1206"/>
      <c r="E40" s="1206"/>
      <c r="F40" s="1206"/>
      <c r="G40" s="1206"/>
      <c r="H40" s="1206"/>
      <c r="I40" s="1206"/>
      <c r="J40" s="1206"/>
      <c r="K40" s="1206"/>
    </row>
    <row r="41" spans="2:11">
      <c r="B41" s="1206"/>
      <c r="C41" s="1206"/>
      <c r="D41" s="1206"/>
      <c r="E41" s="1206"/>
      <c r="F41" s="1206"/>
      <c r="G41" s="1206"/>
      <c r="H41" s="1206"/>
      <c r="I41" s="1206"/>
      <c r="J41" s="1206"/>
      <c r="K41" s="1206"/>
    </row>
  </sheetData>
  <mergeCells count="1">
    <mergeCell ref="B11:K41"/>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sheetPr>
    <tabColor theme="7" tint="-0.249977111117893"/>
    <pageSetUpPr fitToPage="1"/>
  </sheetPr>
  <dimension ref="A1:BS104"/>
  <sheetViews>
    <sheetView zoomScale="80" zoomScaleNormal="80" workbookViewId="0">
      <pane xSplit="2" ySplit="9" topLeftCell="AS10" activePane="bottomRight" state="frozen"/>
      <selection pane="topRight" activeCell="C1" sqref="C1"/>
      <selection pane="bottomLeft" activeCell="A9" sqref="A9"/>
      <selection pane="bottomRight" activeCell="BP10" sqref="BP10:BP46"/>
    </sheetView>
  </sheetViews>
  <sheetFormatPr defaultRowHeight="15"/>
  <cols>
    <col min="1" max="1" width="1.7109375" customWidth="1"/>
    <col min="2" max="2" width="50.140625" customWidth="1"/>
    <col min="3" max="3" width="1.28515625" customWidth="1"/>
    <col min="4" max="4" width="10.5703125" customWidth="1"/>
    <col min="5" max="5" width="14.140625" customWidth="1"/>
    <col min="6" max="6" width="11.7109375" customWidth="1"/>
    <col min="7" max="7" width="11.28515625" customWidth="1"/>
    <col min="8" max="8" width="11.5703125" customWidth="1"/>
    <col min="9" max="11" width="12" customWidth="1"/>
    <col min="12" max="12" width="10.85546875" customWidth="1"/>
    <col min="13" max="13" width="11" customWidth="1"/>
    <col min="14" max="14" width="11.42578125" customWidth="1"/>
    <col min="15" max="15" width="10.28515625" customWidth="1"/>
    <col min="16" max="16" width="9.140625" customWidth="1"/>
    <col min="17" max="17" width="10.7109375" customWidth="1"/>
    <col min="18" max="18" width="10.28515625" customWidth="1"/>
    <col min="19" max="19" width="1.28515625" customWidth="1"/>
    <col min="20" max="20" width="11.42578125" customWidth="1"/>
    <col min="21" max="21" width="8.5703125" style="490" customWidth="1"/>
    <col min="22" max="22" width="10.42578125" bestFit="1" customWidth="1"/>
    <col min="23" max="23" width="10.28515625" customWidth="1"/>
    <col min="24" max="24" width="8.42578125" customWidth="1"/>
    <col min="25" max="25" width="10.85546875" customWidth="1"/>
    <col min="26" max="26" width="9.28515625" customWidth="1"/>
    <col min="27" max="27" width="9.85546875" customWidth="1"/>
    <col min="28" max="28" width="1.28515625" customWidth="1"/>
    <col min="29" max="31" width="10.85546875" customWidth="1"/>
    <col min="32" max="32" width="9.7109375" customWidth="1"/>
    <col min="33" max="33" width="8.28515625" customWidth="1"/>
    <col min="34" max="34" width="9.140625" customWidth="1"/>
    <col min="35" max="35" width="1.28515625" customWidth="1"/>
    <col min="36" max="36" width="14.28515625" bestFit="1" customWidth="1"/>
    <col min="37" max="37" width="7.85546875" bestFit="1" customWidth="1"/>
    <col min="38" max="38" width="9.85546875" bestFit="1" customWidth="1"/>
    <col min="39" max="39" width="9" customWidth="1"/>
    <col min="40" max="40" width="7.85546875" customWidth="1"/>
    <col min="41" max="41" width="11.42578125" customWidth="1"/>
    <col min="42" max="42" width="10" customWidth="1"/>
    <col min="43" max="43" width="10.7109375" customWidth="1"/>
    <col min="44" max="44" width="8.85546875" customWidth="1"/>
    <col min="45" max="45" width="1.28515625" customWidth="1"/>
    <col min="46" max="46" width="12.140625" customWidth="1"/>
    <col min="47" max="47" width="11" customWidth="1"/>
    <col min="48" max="48" width="1.28515625" customWidth="1"/>
    <col min="49" max="49" width="12.5703125" customWidth="1"/>
    <col min="50" max="50" width="1.5703125" customWidth="1"/>
    <col min="51" max="51" width="9.85546875" customWidth="1"/>
    <col min="52" max="52" width="13" customWidth="1"/>
    <col min="53" max="53" width="12.85546875" customWidth="1"/>
    <col min="54" max="54" width="10.140625" customWidth="1"/>
    <col min="66" max="66" width="11" bestFit="1" customWidth="1"/>
    <col min="68" max="68" width="15.28515625" bestFit="1" customWidth="1"/>
    <col min="69" max="69" width="9.85546875" customWidth="1"/>
  </cols>
  <sheetData>
    <row r="1" spans="1:69" ht="19.5" thickBot="1">
      <c r="A1" s="3">
        <f>'1. KEY DATA'!C3</f>
        <v>0</v>
      </c>
      <c r="B1" s="10"/>
      <c r="C1" s="10"/>
      <c r="D1" s="10"/>
      <c r="E1" s="10"/>
      <c r="F1" s="10"/>
      <c r="G1" s="10"/>
      <c r="H1" s="10"/>
      <c r="I1" s="10"/>
      <c r="J1" s="10"/>
      <c r="K1" s="10"/>
      <c r="L1" s="10"/>
      <c r="M1" s="10"/>
      <c r="P1" s="86" t="s">
        <v>90</v>
      </c>
      <c r="Q1" s="87">
        <f>'1. KEY DATA'!C4</f>
        <v>0</v>
      </c>
      <c r="S1" s="10"/>
      <c r="T1" s="10"/>
      <c r="U1" s="826"/>
      <c r="V1" s="10"/>
      <c r="W1" s="10"/>
      <c r="X1" s="10"/>
      <c r="Y1" s="10"/>
      <c r="Z1" s="10"/>
      <c r="AA1" s="10"/>
      <c r="AB1" s="10"/>
      <c r="AC1" s="10"/>
      <c r="AD1" s="10"/>
      <c r="AE1" s="10"/>
      <c r="AF1" s="10"/>
      <c r="AG1" s="10"/>
      <c r="AH1" s="10"/>
      <c r="AI1" s="10"/>
      <c r="AJ1" s="1181">
        <f>30*L13/76*7.6*M13*AN13*AM13</f>
        <v>0</v>
      </c>
      <c r="AK1" s="10" t="s">
        <v>372</v>
      </c>
      <c r="AL1" s="10">
        <f>30*L13/76*M13</f>
        <v>0</v>
      </c>
      <c r="AM1" s="826"/>
      <c r="AN1" s="10"/>
      <c r="AO1" s="10"/>
      <c r="AP1" s="10"/>
      <c r="AQ1" s="10"/>
      <c r="AR1" s="10"/>
      <c r="AS1" s="10"/>
      <c r="AT1" s="10"/>
      <c r="AU1" s="10"/>
      <c r="AV1" s="10"/>
      <c r="AW1" s="10"/>
      <c r="AX1" s="7"/>
      <c r="BA1" s="86" t="s">
        <v>90</v>
      </c>
      <c r="BB1" s="87">
        <f>'1. KEY DATA'!C4</f>
        <v>0</v>
      </c>
      <c r="BN1" s="85"/>
      <c r="BO1" s="86" t="s">
        <v>90</v>
      </c>
      <c r="BP1" s="87">
        <f>'1. KEY DATA'!C4</f>
        <v>0</v>
      </c>
    </row>
    <row r="2" spans="1:69" ht="19.5" customHeight="1">
      <c r="A2" s="3" t="s">
        <v>352</v>
      </c>
      <c r="B2" s="1"/>
      <c r="C2" s="982"/>
      <c r="D2" s="1150">
        <f>'1. KEY DATA'!F6</f>
        <v>364</v>
      </c>
      <c r="E2" s="10"/>
      <c r="F2" s="10"/>
      <c r="G2" s="10"/>
      <c r="H2" s="10"/>
      <c r="I2" s="10"/>
      <c r="J2" s="10"/>
      <c r="K2" s="10"/>
      <c r="L2" s="10"/>
      <c r="M2" s="10"/>
      <c r="N2" s="1244" t="s">
        <v>152</v>
      </c>
      <c r="O2" s="1245"/>
      <c r="P2" s="1245"/>
      <c r="Q2" s="1245"/>
      <c r="R2" s="1246"/>
      <c r="S2" s="10"/>
      <c r="T2" s="10"/>
      <c r="U2" s="826"/>
      <c r="V2" s="10"/>
      <c r="W2" s="10"/>
      <c r="X2" s="10"/>
      <c r="Y2" s="10"/>
      <c r="Z2" s="10"/>
      <c r="AA2" s="10"/>
      <c r="AB2" s="10"/>
      <c r="AC2" s="10"/>
      <c r="AD2" s="10"/>
      <c r="AE2" s="10"/>
      <c r="AF2" s="10"/>
      <c r="AG2" s="10"/>
      <c r="AH2" s="10"/>
      <c r="AI2" s="10"/>
      <c r="AJ2" s="10"/>
      <c r="AK2" s="10" t="s">
        <v>373</v>
      </c>
      <c r="AL2" s="10">
        <f>+AL1*7.6</f>
        <v>0</v>
      </c>
      <c r="AM2" s="10"/>
      <c r="AN2" s="10"/>
      <c r="AO2" s="10"/>
      <c r="AP2" s="10"/>
      <c r="AQ2" s="10"/>
      <c r="AR2" s="10"/>
      <c r="AS2" s="10"/>
      <c r="AT2" s="10"/>
      <c r="AU2" s="10"/>
      <c r="AV2" s="10"/>
      <c r="AW2" s="10"/>
      <c r="AX2" s="7"/>
      <c r="AY2" s="1244" t="s">
        <v>152</v>
      </c>
      <c r="AZ2" s="1245"/>
      <c r="BA2" s="1245"/>
      <c r="BB2" s="1245"/>
      <c r="BC2" s="1246"/>
      <c r="BD2" s="369"/>
      <c r="BE2" s="7"/>
      <c r="BF2" s="7"/>
      <c r="BL2" s="1244" t="s">
        <v>152</v>
      </c>
      <c r="BM2" s="1245"/>
      <c r="BN2" s="1245"/>
      <c r="BO2" s="1245"/>
      <c r="BP2" s="1246"/>
    </row>
    <row r="3" spans="1:69" ht="13.5" customHeight="1">
      <c r="A3" s="3"/>
      <c r="B3" s="10"/>
      <c r="C3" s="10"/>
      <c r="D3" s="10"/>
      <c r="E3" s="10"/>
      <c r="F3" s="10"/>
      <c r="G3" s="10"/>
      <c r="H3" s="10"/>
      <c r="I3" s="10"/>
      <c r="J3" s="10"/>
      <c r="K3" s="10"/>
      <c r="L3" s="10"/>
      <c r="M3" s="10"/>
      <c r="N3" s="104"/>
      <c r="O3" s="114"/>
      <c r="P3" s="106" t="s">
        <v>153</v>
      </c>
      <c r="Q3" s="107"/>
      <c r="R3" s="108"/>
      <c r="S3" s="10"/>
      <c r="T3" s="10"/>
      <c r="U3" s="826"/>
      <c r="V3" s="10"/>
      <c r="W3" s="10"/>
      <c r="X3" s="10"/>
      <c r="Y3" s="10"/>
      <c r="Z3" s="10"/>
      <c r="AA3" s="10"/>
      <c r="AB3" s="10"/>
      <c r="AC3" s="10"/>
      <c r="AD3" s="10"/>
      <c r="AE3" s="10"/>
      <c r="AF3" s="10"/>
      <c r="AG3" s="10"/>
      <c r="AH3" s="10"/>
      <c r="AI3" s="10"/>
      <c r="AJ3" s="10"/>
      <c r="AK3" s="10" t="s">
        <v>374</v>
      </c>
      <c r="AL3" s="10">
        <f>+AL2*0.1</f>
        <v>0</v>
      </c>
      <c r="AM3" s="10"/>
      <c r="AN3" s="10"/>
      <c r="AO3" s="10"/>
      <c r="AP3" s="10"/>
      <c r="AQ3" s="10"/>
      <c r="AR3" s="10"/>
      <c r="AS3" s="10"/>
      <c r="AT3" s="10"/>
      <c r="AU3" s="10"/>
      <c r="AV3" s="10"/>
      <c r="AW3" s="10"/>
      <c r="AX3" s="7"/>
      <c r="AY3" s="104"/>
      <c r="AZ3" s="114"/>
      <c r="BA3" s="106" t="s">
        <v>153</v>
      </c>
      <c r="BB3" s="107"/>
      <c r="BC3" s="108"/>
      <c r="BD3" s="370"/>
      <c r="BE3" s="7"/>
      <c r="BF3" s="7"/>
      <c r="BL3" s="104"/>
      <c r="BM3" s="114"/>
      <c r="BN3" s="106" t="s">
        <v>153</v>
      </c>
      <c r="BO3" s="107"/>
      <c r="BP3" s="108"/>
    </row>
    <row r="4" spans="1:69" ht="14.1" customHeight="1">
      <c r="A4" s="3"/>
      <c r="N4" s="105"/>
      <c r="O4" s="117"/>
      <c r="P4" s="106" t="s">
        <v>161</v>
      </c>
      <c r="Q4" s="107"/>
      <c r="R4" s="108"/>
      <c r="AL4" s="1182">
        <f>+AL3*AN13</f>
        <v>0</v>
      </c>
      <c r="AX4" s="7"/>
      <c r="AY4" s="105"/>
      <c r="AZ4" s="117"/>
      <c r="BA4" s="106" t="s">
        <v>161</v>
      </c>
      <c r="BB4" s="107"/>
      <c r="BC4" s="108"/>
      <c r="BD4" s="7"/>
      <c r="BE4" s="7"/>
      <c r="BF4" s="7"/>
      <c r="BL4" s="105"/>
      <c r="BM4" s="117"/>
      <c r="BN4" s="106" t="s">
        <v>161</v>
      </c>
      <c r="BO4" s="107"/>
      <c r="BP4" s="108"/>
    </row>
    <row r="5" spans="1:69" ht="14.1" customHeight="1" thickBot="1">
      <c r="A5" s="3"/>
      <c r="N5" s="118"/>
      <c r="O5" s="119"/>
      <c r="P5" s="109" t="s">
        <v>154</v>
      </c>
      <c r="Q5" s="110"/>
      <c r="R5" s="111"/>
      <c r="AX5" s="7"/>
      <c r="AY5" s="118"/>
      <c r="AZ5" s="119"/>
      <c r="BA5" s="109" t="s">
        <v>154</v>
      </c>
      <c r="BB5" s="110"/>
      <c r="BC5" s="111"/>
      <c r="BD5" s="7"/>
      <c r="BE5" s="7"/>
      <c r="BF5" s="7"/>
      <c r="BL5" s="118"/>
      <c r="BM5" s="119"/>
      <c r="BN5" s="109" t="s">
        <v>154</v>
      </c>
      <c r="BO5" s="110"/>
      <c r="BP5" s="111"/>
    </row>
    <row r="6" spans="1:69" ht="14.25" customHeight="1" thickBot="1">
      <c r="A6" s="3"/>
      <c r="D6" s="640"/>
      <c r="E6" s="490"/>
      <c r="F6" s="490"/>
      <c r="G6" s="490"/>
      <c r="H6" s="645"/>
      <c r="I6" s="644"/>
      <c r="J6" s="662"/>
      <c r="K6" s="662"/>
      <c r="N6" s="640"/>
      <c r="O6" s="640"/>
      <c r="P6" s="640"/>
      <c r="Q6" s="641"/>
      <c r="R6" s="641"/>
      <c r="S6" s="642"/>
      <c r="T6" s="643"/>
      <c r="U6" s="643"/>
      <c r="V6" s="643"/>
      <c r="W6" s="643"/>
      <c r="X6" s="644"/>
      <c r="Y6" s="645"/>
      <c r="Z6" s="644"/>
      <c r="AA6" s="644"/>
      <c r="AC6" s="662"/>
      <c r="AD6" s="662"/>
      <c r="AE6" s="662"/>
      <c r="AF6" s="662"/>
      <c r="AG6" s="662"/>
      <c r="AH6" s="662"/>
      <c r="AI6" s="662"/>
      <c r="AJ6" s="1341" t="s">
        <v>322</v>
      </c>
      <c r="AK6" s="1342"/>
      <c r="AL6" s="1342"/>
      <c r="AM6" s="1342"/>
      <c r="AN6" s="1342"/>
      <c r="AO6" s="1342"/>
      <c r="AP6" s="1342"/>
      <c r="AQ6" s="1342"/>
      <c r="AR6" s="1343"/>
      <c r="AS6" s="662"/>
      <c r="AT6" s="136"/>
      <c r="AU6" s="136"/>
      <c r="AX6" s="7"/>
      <c r="AY6" s="149"/>
      <c r="AZ6" s="149"/>
      <c r="BA6" s="6"/>
      <c r="BB6" s="6"/>
      <c r="BC6" s="6"/>
      <c r="BD6" s="6"/>
      <c r="BE6" s="6"/>
      <c r="BF6" s="6"/>
      <c r="BG6" s="6"/>
      <c r="BH6" s="6"/>
      <c r="BI6" s="6"/>
      <c r="BJ6" s="6"/>
      <c r="BK6" s="6"/>
      <c r="BL6" s="150"/>
      <c r="BM6" s="81"/>
      <c r="BN6" s="151"/>
      <c r="BO6" s="150"/>
      <c r="BP6" s="59"/>
    </row>
    <row r="7" spans="1:69" ht="31.5" customHeight="1" thickBot="1">
      <c r="B7" s="133" t="s">
        <v>136</v>
      </c>
      <c r="C7" s="133"/>
      <c r="D7" s="1405" t="s">
        <v>289</v>
      </c>
      <c r="E7" s="1541" t="s">
        <v>276</v>
      </c>
      <c r="F7" s="1542"/>
      <c r="G7" s="1542"/>
      <c r="H7" s="1542"/>
      <c r="I7" s="1542"/>
      <c r="J7" s="1542"/>
      <c r="K7" s="1543"/>
      <c r="L7" s="1386" t="s">
        <v>235</v>
      </c>
      <c r="M7" s="1386" t="s">
        <v>228</v>
      </c>
      <c r="N7" s="1412" t="s">
        <v>296</v>
      </c>
      <c r="O7" s="1408" t="s">
        <v>306</v>
      </c>
      <c r="P7" s="1329"/>
      <c r="Q7" s="1408" t="s">
        <v>293</v>
      </c>
      <c r="R7" s="1409"/>
      <c r="S7" s="502"/>
      <c r="T7" s="1360" t="s">
        <v>298</v>
      </c>
      <c r="U7" s="1361"/>
      <c r="V7" s="1361"/>
      <c r="W7" s="1379"/>
      <c r="X7" s="1339" t="s">
        <v>292</v>
      </c>
      <c r="Y7" s="1339"/>
      <c r="Z7" s="1339"/>
      <c r="AA7" s="1339"/>
      <c r="AB7" s="663"/>
      <c r="AC7" s="1360" t="s">
        <v>324</v>
      </c>
      <c r="AD7" s="1361"/>
      <c r="AE7" s="1361"/>
      <c r="AF7" s="1361"/>
      <c r="AG7" s="1361"/>
      <c r="AH7" s="1361"/>
      <c r="AI7" s="663"/>
      <c r="AJ7" s="1354" t="s">
        <v>276</v>
      </c>
      <c r="AK7" s="1355"/>
      <c r="AL7" s="1355"/>
      <c r="AM7" s="1355"/>
      <c r="AN7" s="1356"/>
      <c r="AO7" s="1351" t="s">
        <v>323</v>
      </c>
      <c r="AP7" s="1352"/>
      <c r="AQ7" s="1353"/>
      <c r="AR7" s="1348" t="s">
        <v>321</v>
      </c>
      <c r="AS7" s="663"/>
      <c r="AT7" s="1362" t="s">
        <v>169</v>
      </c>
      <c r="AU7" s="1363"/>
      <c r="AV7" s="502"/>
      <c r="AW7" s="1388" t="s">
        <v>245</v>
      </c>
      <c r="AX7" s="157"/>
      <c r="AY7" s="1173" t="s">
        <v>364</v>
      </c>
      <c r="AZ7" s="564"/>
      <c r="BA7" s="565"/>
      <c r="BB7" s="565" t="s">
        <v>210</v>
      </c>
      <c r="BC7" s="565"/>
      <c r="BD7" s="565"/>
      <c r="BE7" s="565"/>
      <c r="BF7" s="565"/>
      <c r="BG7" s="565"/>
      <c r="BH7" s="565"/>
      <c r="BI7" s="565"/>
      <c r="BJ7" s="565"/>
      <c r="BK7" s="565"/>
      <c r="BL7" s="565"/>
      <c r="BM7" s="565"/>
      <c r="BN7" s="565"/>
      <c r="BO7" s="566"/>
      <c r="BP7" s="9"/>
    </row>
    <row r="8" spans="1:69" ht="16.5" customHeight="1">
      <c r="B8" s="503" t="s">
        <v>171</v>
      </c>
      <c r="C8" s="152"/>
      <c r="D8" s="1406"/>
      <c r="E8" s="1544" t="s">
        <v>297</v>
      </c>
      <c r="F8" s="1545"/>
      <c r="G8" s="1340" t="s">
        <v>327</v>
      </c>
      <c r="H8" s="1413" t="s">
        <v>300</v>
      </c>
      <c r="I8" s="1340" t="s">
        <v>301</v>
      </c>
      <c r="J8" s="1317" t="s">
        <v>347</v>
      </c>
      <c r="K8" s="1335" t="s">
        <v>346</v>
      </c>
      <c r="L8" s="1387"/>
      <c r="M8" s="1387"/>
      <c r="N8" s="1413"/>
      <c r="O8" s="1317" t="s">
        <v>291</v>
      </c>
      <c r="P8" s="1377" t="s">
        <v>334</v>
      </c>
      <c r="Q8" s="1317" t="s">
        <v>291</v>
      </c>
      <c r="R8" s="1410" t="s">
        <v>310</v>
      </c>
      <c r="S8" s="502"/>
      <c r="T8" s="1415" t="s">
        <v>299</v>
      </c>
      <c r="U8" s="1428" t="s">
        <v>309</v>
      </c>
      <c r="V8" s="1429"/>
      <c r="W8" s="1416" t="s">
        <v>302</v>
      </c>
      <c r="X8" s="1418" t="s">
        <v>288</v>
      </c>
      <c r="Y8" s="1317" t="s">
        <v>290</v>
      </c>
      <c r="Z8" s="1317" t="s">
        <v>308</v>
      </c>
      <c r="AA8" s="1410" t="s">
        <v>305</v>
      </c>
      <c r="AB8" s="157"/>
      <c r="AC8" s="1418" t="s">
        <v>69</v>
      </c>
      <c r="AD8" s="1337" t="s">
        <v>345</v>
      </c>
      <c r="AE8" s="1337" t="s">
        <v>91</v>
      </c>
      <c r="AF8" s="1319" t="s">
        <v>348</v>
      </c>
      <c r="AG8" s="1319" t="s">
        <v>68</v>
      </c>
      <c r="AH8" s="1416" t="s">
        <v>349</v>
      </c>
      <c r="AI8" s="157"/>
      <c r="AJ8" s="1402" t="s">
        <v>307</v>
      </c>
      <c r="AK8" s="1403"/>
      <c r="AL8" s="1404"/>
      <c r="AM8" s="1357" t="s">
        <v>330</v>
      </c>
      <c r="AN8" s="1319" t="s">
        <v>332</v>
      </c>
      <c r="AO8" s="1344" t="s">
        <v>318</v>
      </c>
      <c r="AP8" s="1344" t="s">
        <v>319</v>
      </c>
      <c r="AQ8" s="1346" t="s">
        <v>320</v>
      </c>
      <c r="AR8" s="1349"/>
      <c r="AS8" s="502"/>
      <c r="AT8" s="1377" t="s">
        <v>311</v>
      </c>
      <c r="AU8" s="1377" t="s">
        <v>312</v>
      </c>
      <c r="AV8" s="502"/>
      <c r="AW8" s="1389"/>
      <c r="AX8" s="127"/>
      <c r="AY8" s="1389" t="s">
        <v>35</v>
      </c>
      <c r="AZ8" s="1524" t="s">
        <v>218</v>
      </c>
      <c r="BA8" s="1405" t="str">
        <f>'1. KEY DATA'!D54</f>
        <v>House 1</v>
      </c>
      <c r="BB8" s="1452" t="str">
        <f>'1. KEY DATA'!E54</f>
        <v>House 2</v>
      </c>
      <c r="BC8" s="1452" t="str">
        <f>'1. KEY DATA'!F54</f>
        <v>House 3</v>
      </c>
      <c r="BD8" s="1452" t="str">
        <f>'1. KEY DATA'!G54</f>
        <v>House 4</v>
      </c>
      <c r="BE8" s="1452" t="str">
        <f>'1. KEY DATA'!H54</f>
        <v>House 5</v>
      </c>
      <c r="BF8" s="1452" t="str">
        <f>'1. KEY DATA'!I54</f>
        <v>House 6</v>
      </c>
      <c r="BG8" s="1452" t="str">
        <f>'1. KEY DATA'!J54</f>
        <v>House 7</v>
      </c>
      <c r="BH8" s="1452" t="str">
        <f>'1. KEY DATA'!K54</f>
        <v>House 8</v>
      </c>
      <c r="BI8" s="1452" t="str">
        <f>'1. KEY DATA'!L54</f>
        <v>House 9</v>
      </c>
      <c r="BJ8" s="1452" t="str">
        <f>'1. KEY DATA'!M54</f>
        <v>House 10</v>
      </c>
      <c r="BK8" s="1452" t="str">
        <f>'1. KEY DATA'!N54</f>
        <v>House 11</v>
      </c>
      <c r="BL8" s="1452" t="str">
        <f>'1. KEY DATA'!O54</f>
        <v>House 12</v>
      </c>
      <c r="BM8" s="1452" t="str">
        <f>'1. KEY DATA'!P54</f>
        <v>House 13</v>
      </c>
      <c r="BN8" s="1452" t="str">
        <f>'1. KEY DATA'!Q54</f>
        <v>House 14</v>
      </c>
      <c r="BO8" s="1533" t="str">
        <f>'1. KEY DATA'!R54</f>
        <v>House 15</v>
      </c>
      <c r="BP8" s="1525" t="s">
        <v>189</v>
      </c>
      <c r="BQ8" s="461"/>
    </row>
    <row r="9" spans="1:69" s="9" customFormat="1" ht="46.5" customHeight="1" thickBot="1">
      <c r="A9" s="12"/>
      <c r="B9" s="157"/>
      <c r="C9" s="92"/>
      <c r="D9" s="1407"/>
      <c r="E9" s="660" t="s">
        <v>277</v>
      </c>
      <c r="F9" s="660" t="s">
        <v>294</v>
      </c>
      <c r="G9" s="1334"/>
      <c r="H9" s="1378"/>
      <c r="I9" s="1334"/>
      <c r="J9" s="1334"/>
      <c r="K9" s="1336"/>
      <c r="L9" s="1391"/>
      <c r="M9" s="1359"/>
      <c r="N9" s="1378"/>
      <c r="O9" s="1334"/>
      <c r="P9" s="1378"/>
      <c r="Q9" s="1334"/>
      <c r="R9" s="1411"/>
      <c r="S9" s="502"/>
      <c r="T9" s="1407"/>
      <c r="U9" s="792" t="s">
        <v>278</v>
      </c>
      <c r="V9" s="792" t="s">
        <v>291</v>
      </c>
      <c r="W9" s="1417"/>
      <c r="X9" s="1419"/>
      <c r="Y9" s="1334"/>
      <c r="Z9" s="1334"/>
      <c r="AA9" s="1411"/>
      <c r="AB9" s="157"/>
      <c r="AC9" s="1419"/>
      <c r="AD9" s="1338"/>
      <c r="AE9" s="1338"/>
      <c r="AF9" s="1359"/>
      <c r="AG9" s="1359"/>
      <c r="AH9" s="1417"/>
      <c r="AI9" s="157"/>
      <c r="AJ9" s="790" t="s">
        <v>315</v>
      </c>
      <c r="AK9" s="791" t="s">
        <v>316</v>
      </c>
      <c r="AL9" s="791" t="s">
        <v>317</v>
      </c>
      <c r="AM9" s="1358"/>
      <c r="AN9" s="1359"/>
      <c r="AO9" s="1345"/>
      <c r="AP9" s="1345"/>
      <c r="AQ9" s="1347"/>
      <c r="AR9" s="1350"/>
      <c r="AS9" s="502"/>
      <c r="AT9" s="1378"/>
      <c r="AU9" s="1378"/>
      <c r="AV9" s="502"/>
      <c r="AW9" s="1390"/>
      <c r="AX9" s="127"/>
      <c r="AY9" s="1390"/>
      <c r="AZ9" s="1411"/>
      <c r="BA9" s="1407"/>
      <c r="BB9" s="1359"/>
      <c r="BC9" s="1359"/>
      <c r="BD9" s="1359"/>
      <c r="BE9" s="1359"/>
      <c r="BF9" s="1359"/>
      <c r="BG9" s="1359"/>
      <c r="BH9" s="1359"/>
      <c r="BI9" s="1359"/>
      <c r="BJ9" s="1359"/>
      <c r="BK9" s="1359"/>
      <c r="BL9" s="1359"/>
      <c r="BM9" s="1359"/>
      <c r="BN9" s="1359"/>
      <c r="BO9" s="1534"/>
      <c r="BP9" s="1526"/>
      <c r="BQ9" s="461"/>
    </row>
    <row r="10" spans="1:69" s="9" customFormat="1" ht="7.5" customHeight="1" thickBot="1">
      <c r="A10" s="12"/>
      <c r="B10" s="134"/>
      <c r="C10" s="157"/>
      <c r="D10" s="17"/>
      <c r="E10" s="17"/>
      <c r="F10" s="17"/>
      <c r="G10" s="17"/>
      <c r="H10" s="17"/>
      <c r="I10" s="17"/>
      <c r="J10" s="17"/>
      <c r="K10" s="17"/>
      <c r="L10" s="17"/>
      <c r="M10" s="17"/>
      <c r="N10" s="17"/>
      <c r="O10" s="17"/>
      <c r="P10" s="17"/>
      <c r="Q10" s="17"/>
      <c r="R10" s="17"/>
      <c r="S10" s="17"/>
      <c r="T10" s="17"/>
      <c r="U10" s="17"/>
      <c r="V10" s="17"/>
      <c r="W10" s="681"/>
      <c r="X10" s="17"/>
      <c r="Y10" s="17"/>
      <c r="Z10" s="17"/>
      <c r="AA10" s="17"/>
      <c r="AB10" s="17"/>
      <c r="AC10" s="17"/>
      <c r="AD10" s="17"/>
      <c r="AE10" s="17"/>
      <c r="AF10" s="17"/>
      <c r="AG10" s="17"/>
      <c r="AH10" s="17"/>
      <c r="AI10" s="17"/>
      <c r="AJ10" s="680"/>
      <c r="AK10" s="680"/>
      <c r="AL10" s="680"/>
      <c r="AM10" s="680"/>
      <c r="AN10" s="490"/>
      <c r="AO10" s="495"/>
      <c r="AP10" s="495"/>
      <c r="AQ10" s="495"/>
      <c r="AR10" s="495"/>
      <c r="AS10" s="17"/>
      <c r="AT10" s="17"/>
      <c r="AU10" s="17"/>
      <c r="AV10" s="17"/>
      <c r="AW10" s="17"/>
      <c r="AX10" s="157"/>
      <c r="AY10" s="481"/>
      <c r="AZ10" s="144"/>
      <c r="BA10" s="144"/>
      <c r="BB10" s="144"/>
      <c r="BC10" s="144"/>
      <c r="BD10" s="144"/>
      <c r="BE10" s="144"/>
      <c r="BF10" s="144"/>
      <c r="BG10" s="144"/>
      <c r="BH10" s="144"/>
      <c r="BI10" s="144"/>
      <c r="BJ10" s="144"/>
      <c r="BK10" s="144"/>
      <c r="BL10" s="144"/>
      <c r="BM10" s="144"/>
      <c r="BN10" s="144"/>
      <c r="BO10" s="145"/>
      <c r="BP10" s="1538"/>
    </row>
    <row r="11" spans="1:69" s="9" customFormat="1" ht="20.25" customHeight="1" thickBot="1">
      <c r="A11" s="12"/>
      <c r="B11" s="147" t="s">
        <v>253</v>
      </c>
      <c r="C11" s="504"/>
      <c r="D11" s="619"/>
      <c r="E11" s="619"/>
      <c r="F11" s="619"/>
      <c r="G11" s="619"/>
      <c r="H11" s="17"/>
      <c r="I11" s="17"/>
      <c r="J11" s="17"/>
      <c r="K11" s="17"/>
      <c r="L11" s="17"/>
      <c r="M11" s="17"/>
      <c r="N11" s="619"/>
      <c r="O11" s="619"/>
      <c r="P11" s="619"/>
      <c r="Q11" s="619"/>
      <c r="R11" s="619"/>
      <c r="S11" s="619"/>
      <c r="T11" s="23"/>
      <c r="U11" s="619"/>
      <c r="V11" s="619"/>
      <c r="W11" s="23"/>
      <c r="X11" s="17"/>
      <c r="Y11" s="17"/>
      <c r="Z11" s="17"/>
      <c r="AA11" s="17"/>
      <c r="AB11" s="17"/>
      <c r="AC11" s="17"/>
      <c r="AD11" s="17"/>
      <c r="AE11" s="17"/>
      <c r="AF11" s="17"/>
      <c r="AG11" s="17"/>
      <c r="AH11" s="17"/>
      <c r="AI11" s="17"/>
      <c r="AJ11" s="17"/>
      <c r="AK11" s="17"/>
      <c r="AL11" s="17"/>
      <c r="AM11" s="17"/>
      <c r="AN11" s="490"/>
      <c r="AO11" s="495"/>
      <c r="AP11" s="495"/>
      <c r="AQ11" s="495"/>
      <c r="AR11" s="495"/>
      <c r="AS11" s="17"/>
      <c r="AT11" s="17"/>
      <c r="AU11" s="17"/>
      <c r="AV11" s="17"/>
      <c r="AW11" s="17"/>
      <c r="AX11" s="157"/>
      <c r="AY11" s="482"/>
      <c r="AZ11" s="157"/>
      <c r="BA11" s="134"/>
      <c r="BB11" s="134"/>
      <c r="BC11" s="134"/>
      <c r="BD11" s="134"/>
      <c r="BE11" s="134"/>
      <c r="BF11" s="134"/>
      <c r="BG11" s="134"/>
      <c r="BH11" s="134"/>
      <c r="BI11" s="134"/>
      <c r="BJ11" s="134"/>
      <c r="BK11" s="134"/>
      <c r="BL11" s="134"/>
      <c r="BM11" s="134"/>
      <c r="BN11" s="134"/>
      <c r="BO11" s="146"/>
      <c r="BP11" s="1539"/>
    </row>
    <row r="12" spans="1:69" s="9" customFormat="1" ht="6.75" customHeight="1" thickBot="1">
      <c r="B12" s="70"/>
      <c r="C12" s="16"/>
      <c r="D12" s="17"/>
      <c r="E12" s="17"/>
      <c r="F12" s="17"/>
      <c r="G12" s="17"/>
      <c r="H12" s="24"/>
      <c r="I12" s="24"/>
      <c r="J12" s="24"/>
      <c r="K12" s="24"/>
      <c r="L12" s="24"/>
      <c r="M12" s="24"/>
      <c r="N12" s="17"/>
      <c r="O12" s="17"/>
      <c r="P12" s="17"/>
      <c r="Q12" s="24"/>
      <c r="R12" s="24"/>
      <c r="S12" s="17"/>
      <c r="T12" s="17"/>
      <c r="U12" s="24"/>
      <c r="V12" s="24"/>
      <c r="W12" s="24"/>
      <c r="X12" s="24"/>
      <c r="Y12" s="24"/>
      <c r="Z12" s="24"/>
      <c r="AA12" s="24"/>
      <c r="AB12" s="17"/>
      <c r="AC12" s="24"/>
      <c r="AD12" s="24"/>
      <c r="AE12" s="24"/>
      <c r="AF12" s="24"/>
      <c r="AG12" s="24"/>
      <c r="AH12" s="24"/>
      <c r="AI12" s="17"/>
      <c r="AJ12" s="24"/>
      <c r="AK12" s="24"/>
      <c r="AL12" s="24"/>
      <c r="AM12" s="24"/>
      <c r="AN12" s="643"/>
      <c r="AO12" s="496"/>
      <c r="AP12" s="496"/>
      <c r="AQ12" s="496"/>
      <c r="AR12" s="496"/>
      <c r="AS12" s="17"/>
      <c r="AT12" s="24"/>
      <c r="AU12" s="24"/>
      <c r="AV12" s="17"/>
      <c r="AW12" s="24"/>
      <c r="AX12" s="182"/>
      <c r="AY12" s="143"/>
      <c r="AZ12" s="143"/>
      <c r="BA12" s="47"/>
      <c r="BB12" s="47"/>
      <c r="BC12" s="47"/>
      <c r="BD12" s="47"/>
      <c r="BE12" s="47"/>
      <c r="BF12" s="47"/>
      <c r="BG12" s="47"/>
      <c r="BH12" s="47"/>
      <c r="BI12" s="47"/>
      <c r="BJ12" s="47"/>
      <c r="BK12" s="47"/>
      <c r="BL12" s="47"/>
      <c r="BM12" s="47"/>
      <c r="BN12" s="47"/>
      <c r="BO12" s="148"/>
      <c r="BP12" s="1539"/>
    </row>
    <row r="13" spans="1:69" s="9" customFormat="1" ht="15.75" thickBot="1">
      <c r="B13" s="213"/>
      <c r="C13" s="214"/>
      <c r="D13" s="698">
        <f>'1. KEY DATA'!E6</f>
        <v>0</v>
      </c>
      <c r="E13" s="697"/>
      <c r="F13" s="900"/>
      <c r="G13" s="701"/>
      <c r="H13" s="691"/>
      <c r="I13" s="692"/>
      <c r="J13" s="1111"/>
      <c r="K13" s="1111"/>
      <c r="L13" s="762"/>
      <c r="M13" s="688"/>
      <c r="N13" s="628"/>
      <c r="O13" s="628"/>
      <c r="P13" s="637">
        <f>'1. KEY DATA'!B25</f>
        <v>0.03</v>
      </c>
      <c r="Q13" s="797"/>
      <c r="R13" s="658" t="str">
        <f>IF(AND(F13&gt;0.9,F13&lt;3),0.23,IF(AND(F13&gt;2.9,F13&lt;4),0.26,IF(AND(F13&gt;3.9,F13&lt;5),0.32,IF(AND(F13&gt;4.9,F13&lt;6),0.37,IF(AND(F13&gt;5.9,F13&lt;7),0.4,IF(AND(F13&gt;6.9,F13&lt;8),0.42,IF(F13&gt;7.9,0.45,"-")))))))</f>
        <v>-</v>
      </c>
      <c r="S13" s="649"/>
      <c r="T13" s="650">
        <v>0</v>
      </c>
      <c r="U13" s="827"/>
      <c r="V13" s="669"/>
      <c r="W13" s="798">
        <f>T13*(1+U13)</f>
        <v>0</v>
      </c>
      <c r="X13" s="656">
        <f>IF(OR(E13=0,F13=0),0,IF(E13='2. AWARDS'!F$7,VLOOKUP(F13,'2. AWARDS'!$C$9:$F$35,4,FALSE),IF(E13='2. AWARDS'!G$7,VLOOKUP(F13,'2. AWARDS'!$C$9:$G$35,5,FALSE),IF(E13='2. AWARDS'!H$7,VLOOKUP(F13,'2. AWARDS'!$C$9:$H$35,6,FALSE),IF(E13='2. AWARDS'!I$7,VLOOKUP(F13,'2. AWARDS'!$C$9:$I$35,7,FALSE),VLOOKUP(F13,'2. AWARDS'!$C$9:$J$35,8,FALSE))))))</f>
        <v>0</v>
      </c>
      <c r="Y13" s="657">
        <f>IF(OR(E13=0,F13=0),0,IF(AND(N13=0,E13='2. AWARDS'!F$7,VLOOKUP(F13,'2. AWARDS'!$C$9:$O$35,9,FALSE)&lt;&gt;0),"date missing",IF(AND(N13=0,E13='2. AWARDS'!G$7,VLOOKUP(F13,'2. AWARDS'!$C$9:$O$35,10,FALSE)&lt;&gt;0),"date missing",IF(AND(N13=0,E13='2. AWARDS'!H$7,VLOOKUP(F13,'2. AWARDS'!$C$9:$O$35,11,FALSE)&lt;&gt;0),"date missing",IF(AND(N13=0,E13='2. AWARDS'!I$7,VLOOKUP(F13,'2. AWARDS'!$C$9:$O$35,12,FALSE)&lt;&gt;0),"date missing",IF(AND(N13=0,E13='2. AWARDS'!J$7,VLOOKUP(F13,'2. AWARDS'!$C$9:$O$35,13,FALSE)&lt;&gt;0),"date missing",IF(N13=0,0,IF(OR(N13=MIN(O13,Q13),AND(N13&lt;O13,N13&lt;Q13,N13&gt;0)),IF(E13='2. AWARDS'!F$7,VLOOKUP(F13,'2. AWARDS'!$C$9:$O$35,9,FALSE),IF(E13='2. AWARDS'!G$7,VLOOKUP(F13,'2. AWARDS'!$C$9:$O$35,10,FALSE),IF(E13='2. AWARDS'!H$7,VLOOKUP(F13,'2. AWARDS'!$C$9:$O$35,11,FALSE),IF(E13='2. AWARDS'!I$7,VLOOKUP(F13,'2. AWARDS'!$C$9:$O$35,12,FALSE),IF(E13='2. AWARDS'!J$7,VLOOKUP(F13,'2. AWARDS'!$C$9:$O$35,13,FALSE)))))),IF(AND(N13&gt;O13,N13&lt;Q13),IF(E13='2. AWARDS'!F$7,(1+P13)*VLOOKUP(F13,'2. AWARDS'!$C$9:$O$35,9,FALSE),IF(E13='2. AWARDS'!G$7,(1+P13)*VLOOKUP(F13,'2. AWARDS'!$C$9:$O$35,10,FALSE),IF(E13='2. AWARDS'!H$7,(1+P13)*VLOOKUP(F13,'2. AWARDS'!$C$9:$O$35,11,FALSE),IF(E13='2. AWARDS'!I$7,(1+P13)*VLOOKUP(F13,'2. AWARDS'!$C$9:$O$35,12,FALSE),IF(E13='2. AWARDS'!J$7,(1+P13)*VLOOKUP(F13,'2. AWARDS'!$C$9:$O$35,13,FALSE)))))),IF(AND(N13&lt;O13,N13&gt;Q13),IF(E13='2. AWARDS'!F$7,(1+(R13/9))*VLOOKUP(F13,'2. AWARDS'!$C$9:$O$35,9,FALSE),IF(E13='2. AWARDS'!G$7,(1+(R13/9))*VLOOKUP(F13,'2. AWARDS'!$C$9:$O$35,10,FALSE),IF(E13='2. AWARDS'!H$7,(1+(R13/9))*VLOOKUP(F13,'2. AWARDS'!$C$9:$O$35,11,FALSE),IF(E13='2. AWARDS'!I$7,(1+(R13/9))*VLOOKUP(F13,'2. AWARDS'!$C$9:$O$35,12,FALSE),IF(E13='2. AWARDS'!J$7,(1+(R13/9))*VLOOKUP(F13,'2. AWARDS'!$C$9:$O$35,13,FALSE)))))),IF(OR(N13=MAX(O13,Q13),AND(N13&gt;O13,N13&gt;Q13)),IF(E13='2. AWARDS'!F$7,((1+(R13/9))*(1+P13))*VLOOKUP(F13,'2. AWARDS'!$C$9:$O$35,9,FALSE),IF(E13='2. AWARDS'!G$7,((1+(R13/9))*(1+P13))*VLOOKUP(F13,'2. AWARDS'!$C$9:$O$35,10,FALSE),IF(E13='2. AWARDS'!H$7,((1+(R13/9))*(1+P13))*VLOOKUP(F13,'2. AWARDS'!$C$9:$O$35,11,FALSE),IF(E13='2. AWARDS'!I$7,((1+(R13/9))*(1+P13))*VLOOKUP(F13,'2. AWARDS'!$C$9:$O$35,12,FALSE),IF(E13='2. AWARDS'!J$7,((1+(R13/9))*(1+P13))*VLOOKUP(F13,'2. AWARDS'!$C$9:$O$35,13,FALSE)))))),"?")))))))))))</f>
        <v>0</v>
      </c>
      <c r="Z13" s="656" t="e">
        <f>IF(AND(E13='2. AWARDS'!F6,O13&gt;N13,O13&gt;Q13,VLOOKUP(F13,'2. AWARDS'!$C$9:$O$35,9,FALSE)&lt;&gt;0),VLOOKUP(F13,'2. AWARDS'!$C$9:$O$35,9,FALSE)*(1+P13)*(1+(R13/9)),IF(AND(E13='2. AWARDS'!F6,O13&gt;N13,O13&gt;Q13,VLOOKUP(F13,'2. AWARDS'!$C$9:$O$35,9,FALSE)=0),X13*(1+P13)*(1+(R13/9)),IF(AND(E13='2. AWARDS'!G6,O13&gt;N13,O13&gt;Q13,VLOOKUP(F13,'2. AWARDS'!$C$9:$O$35,10,FALSE)&lt;&gt;0),VLOOKUP(F13,'2. AWARDS'!$C$9:$O$35,10,FALSE)*(1+P13)*(1+(R13/9)),IF(AND(E13='2. AWARDS'!G6,O13&gt;N13,O13&gt;Q13,VLOOKUP(F13,'2. AWARDS'!$C$9:$O$35,10,FALSE)=0),X13*(1+P13)*(1+(R13/9)),IF(AND(E13='2. AWARDS'!H6,O13&gt;N13,O13&gt;Q13,VLOOKUP(F13,'2. AWARDS'!$C$9:$O$35,11,FALSE)&lt;&gt;0),VLOOKUP(F13,'2. AWARDS'!$C$9:$O$35,11,FALSE)*(1+P13)*(1+(R13/9)),IF(AND(E13='2. AWARDS'!H6,O13&gt;N13,O13&gt;Q13,VLOOKUP(F13,'2. AWARDS'!$C$9:$O$35,11,FALSE)=0),X13*(1+P13)*(1+(R13/9)),IF(AND(E13='2. AWARDS'!I6,O13&gt;N13,O13&gt;Q13,VLOOKUP(F13,'2. AWARDS'!$C$9:$O$35,12,FALSE)&lt;&gt;0),VLOOKUP(F13,'2. AWARDS'!$C$9:$O$35,12,FALSE)*(1+P13)*(1+(R13/9)),IF(AND(E13='2. AWARDS'!I6,O13&gt;N13,O13&gt;Q13,VLOOKUP(F13,'2. AWARDS'!$C$9:$O$35,12,FALSE)=0),X13*(1+P13)*(1+(R13/9)),IF(AND(E13='2. AWARDS'!J6,O13&gt;N13,O13&gt;Q13,VLOOKUP(F13,'2. AWARDS'!$C$9:$O$35,13,FALSE)&lt;&gt;0),VLOOKUP(F13,'2. AWARDS'!$C$9:$O$35,13,FALSE)*(1+P13)*(1+(R13/9)),IF(AND(E13='2. AWARDS'!J6,O13&gt;N13,O13&gt;Q13,VLOOKUP(F13,'2. AWARDS'!$C$9:$O$35,13,FALSE)=0),X13*(1+P13)*(1+(R13/9)),IF(AND(O13&lt;N13,O13&gt;Q13),X13*(1+P13)*(1+(R13/9)),IF(AND(E13='2. AWARDS'!F6,O13=MAX(N13,Q13),VLOOKUP(F13,'2. AWARDS'!$C$9:$O$35,9,FALSE)&lt;&gt;0),VLOOKUP(F13,'2. AWARDS'!$C$9:$O$35,9,FALSE)*(1+P13)*(1+(R13/9)),IF(AND(E13='2. AWARDS'!F6,O13=MAX(N13,Q13),VLOOKUP(F13,'2. AWARDS'!$C$9:$O$35,9,FALSE)=0),X13*(1+P13)*(1+(R13/9)),IF(AND(E13='2. AWARDS'!G6,O13=MAX(N13,Q13),VLOOKUP(F13,'2. AWARDS'!$C$9:$O$35,10,FALSE)&lt;&gt;0),VLOOKUP(F13,'2. AWARDS'!$C$9:$O$35,10,FALSE)*(1+P13)*(1+(R13/9)),IF(AND(E13='2. AWARDS'!G6,O13=MAX(N13,Q13),VLOOKUP(F13,'2. AWARDS'!$C$9:$O$35,10,FALSE)=0),X13*(1+P13)*(1+(R13/9)),IF(AND(E13='2. AWARDS'!H6,O13=MAX(N13,Q13),VLOOKUP(F13,'2. AWARDS'!$C$9:$O$35,11,FALSE)&lt;&gt;0),VLOOKUP(F13,'2. AWARDS'!$C$9:$O$35,11,FALSE)*(1+P13)*(1+(R13/9)),IF(AND(E13='2. AWARDS'!H6,O13=MAX(N13,Q13),VLOOKUP(F13,'2. AWARDS'!$C$9:$O$35,11,FALSE)=0),X13*(1+P13)*(1+(R13/9)),IF(AND(E13='2. AWARDS'!I6,O13=MAX(N13,Q13),VLOOKUP(F13,'2. AWARDS'!$C$9:$O$35,12,FALSE)&lt;&gt;0),VLOOKUP(F13,'2. AWARDS'!$C$9:$O$35,12,FALSE)*(1+P13)*(1+(R13/9)),IF(AND(E13='2. AWARDS'!I6,O13=MAX(N13,Q13),VLOOKUP(F13,'2. AWARDS'!$C$9:$O$35,12,FALSE)=0),X13*(1+P13)*(1+(R13/9)),IF(AND(E13='2. AWARDS'!J6,O13=MAX(N13,Q13),VLOOKUP(F13,'2. AWARDS'!$C$9:$O$35,13,FALSE)&lt;&gt;0),VLOOKUP(F13,'2. AWARDS'!$C$9:$O$35,13,FALSE)*(1+P13)*(1+(R13/9)),IF(AND(E13='2. AWARDS'!J6,O13=MAX(N13,Q13),VLOOKUP(F13,'2. AWARDS'!$C$9:$O$35,13,FALSE)=0),X13*(1+P13)*(1+(R13/9)),IF(AND(O13&lt;N13,O13&lt;Q13),X13*(1+P13),IF(AND(O13=N13,N13&lt;Q13,E13='2. AWARDS'!F6),VLOOKUP(F13,'2. AWARDS'!$C$9:$O$35,9,FALSE)*(1+P13),IF(AND(O13=N13,N13&lt;Q13,E13='2. AWARDS'!G6),VLOOKUP(F13,'2. AWARDS'!$C$9:$O$35,10,FALSE)*(1+P13),IF(AND(O13=N13,N13&lt;Q13,E13='2. AWARDS'!H6),VLOOKUP(F13,'2. AWARDS'!$C$9:$O$35,11,FALSE)*(1+P13),IF(AND(O13=N13,N13&lt;Q13,E13='2. AWARDS'!I6),VLOOKUP(F13,'2. AWARDS'!$C$9:$O$35,12,FALSE)*(1+P13),IF(AND(O13=N13,N13&lt;Q13,E13='2. AWARDS'!J6),VLOOKUP(F13,'2. AWARDS'!$C$9:$O$35,13,FALSE)*(1+P13),IF(AND(O13=Q13,N13&gt;Q13),X13*(1+P13)*(1+(R13/9)),IF(AND(E13='2. AWARDS'!F6,O13&gt;N13,O13&lt;Q13,VLOOKUP(F13,'2. AWARDS'!$C$9:$O$35,9,FALSE)&lt;&gt;0),VLOOKUP(F13,'2. AWARDS'!$C$9:$O$35,9,FALSE)*(1+P13),IF(AND(E13='2. AWARDS'!G6,O13&gt;N13,O13&lt;Q13,VLOOKUP(F13,'2. AWARDS'!$C$9:$O$35,10,FALSE)&lt;&gt;0),VLOOKUP(F13,'2. AWARDS'!$C$9:$O$35,10,FALSE)*(1+P13),IF(AND(E13='2. AWARDS'!H6,O13&gt;N13,O13&lt;Q13,VLOOKUP(F13,'2. AWARDS'!$C$9:$O$35,11,FALSE)&lt;&gt;0),VLOOKUP(F13,'2. AWARDS'!$C$9:$O$35,11,FALSE)*(1+P13),IF(AND(E13='2. AWARDS'!I6,O13&gt;N13,O13&lt;Q13,VLOOKUP(F13,'2. AWARDS'!$C$9:$O$35,12,FALSE)&lt;&gt;0),VLOOKUP(F13,'2. AWARDS'!$C$9:$O$35,12,FALSE)*(1+P13),IF(AND(E13='2. AWARDS'!J6,O13&gt;N13,O13&lt;Q13,VLOOKUP(F13,'2. AWARDS'!$C$9:$O$35,13,FALSE)&lt;&gt;0),VLOOKUP(F13,'2. AWARDS'!$C$9:$O$35,13,FALSE)*(1+P13),X13*(1+P13))))))))))))))))))))))))))))))))))</f>
        <v>#N/A</v>
      </c>
      <c r="AA13" s="661" t="e">
        <f>IF(OR(Q13=MAX(N13,O13),AND(Q13&gt;O13,Q13&gt;N13)),(MAX(Y13,Z13)*(R13/9))+MAX(Y13:Z13),IF(OR(Q13=MIN(N13,O13),AND(Q13&lt;N13,Q13&lt;O13)),X13*(1+(R13/9)),IF(AND(Q13&lt;O13,Q13&gt;N13,Y13&gt;0),Y13*(1+(R13/9)),IF(AND(Q13&lt;O13,Q13&gt;N13,Y13=0),X13*(1+(R13/9)),X13*(1+P13)*(1+(R13/9))))))</f>
        <v>#N/A</v>
      </c>
      <c r="AB13" s="683"/>
      <c r="AC13" s="774"/>
      <c r="AD13" s="774"/>
      <c r="AE13" s="777"/>
      <c r="AF13" s="781">
        <f>IF(J13="YES",L13*MAX(W13:AA13)*K13,0)</f>
        <v>0</v>
      </c>
      <c r="AG13" s="781" t="e">
        <f>HLOOKUP(E13,'2. AWARDS'!$F$7:$J$40,32,FALSE)/5*HLOOKUP(E13,'2. AWARDS'!$F$7:$J$40,31,FALSE)*MAX(W13:AA13)*M13*HLOOKUP(E13,'2. AWARDS'!$F$7:$J$40,34,FALSE)*L13/(38*2)</f>
        <v>#N/A</v>
      </c>
      <c r="AH13" s="782" t="e">
        <f>((HLOOKUP(E13,'2. AWARDS'!$F$7:$J$42,36,FALSE)/HLOOKUP(E13,'2. AWARDS'!$F$7:$J$42,35,FALSE)*HLOOKUP(E13,'2. AWARDS'!$F$7:$J$45,39,FALSE))/(HLOOKUP(E13,'2. AWARDS'!$F$7:$J$45,31,FALSE)*2)*L13*M13*HLOOKUP(E13,'2. AWARDS'!$F$7:$J$45,31,FALSE)*MAX(W13:AA13))</f>
        <v>#N/A</v>
      </c>
      <c r="AI13" s="474"/>
      <c r="AJ13" s="800"/>
      <c r="AK13" s="800"/>
      <c r="AL13" s="801"/>
      <c r="AM13" s="802"/>
      <c r="AN13" s="803"/>
      <c r="AO13" s="836">
        <f>IF(AJ13="YES",HLOOKUP(E13,'2. AWARDS'!$F$7:$J$38,32,FALSE)/5*HLOOKUP(E13,'2. AWARDS'!$F$7:$J$37,31,FALSE)*L13/(HLOOKUP(E13,'2. AWARDS'!$F$7:$J$37,31,FALSE)*2)*M13*MAX(W13:AA13)*(1+HLOOKUP(E13,'2. AWARDS'!$F$7:$J$43,37,FALSE))*(1-AM13),0)</f>
        <v>0</v>
      </c>
      <c r="AP13" s="836">
        <f>IF(AK13="YES",HLOOKUP(E13,'2. AWARDS'!$F$7:$J$39,33,FALSE)/5*HLOOKUP(E13,'2. AWARDS'!$F$7:$J$37,31,FALSE)*L13/(HLOOKUP(E13,'2. AWARDS'!$F$7:$J$37,31,FALSE)*2)*M13*MAX(W13:AA13)*(1+HLOOKUP(E13,'2. AWARDS'!$F$7:$J$43,37,FALSE))*(1-AM13),0)</f>
        <v>0</v>
      </c>
      <c r="AQ13" s="836">
        <f>IF(AL13="YES",HLOOKUP(E13,'2. AWARDS'!$F$7:$J$47,40,FALSE)/5*HLOOKUP(E13,'2. AWARDS'!$F$7:$J$37,31,FALSE)*L13/(HLOOKUP(E13,'2. AWARDS'!$F$7:$J$37,31,FALSE)*2)*M13*MAX(W13:AA13)*(1+HLOOKUP(E13,'2. AWARDS'!$F$7:$J$43,37,FALSE))*(1-AM13),0)</f>
        <v>0</v>
      </c>
      <c r="AR13" s="839">
        <f>(IF(AJ13="YES",HLOOKUP(E13,'2. AWARDS'!$F$7:$J$39,32,FALSE),0)+IF(AK13="YES",HLOOKUP(E13,'2. AWARDS'!$F$7:$J$39,33,FALSE),0)+IF(AL13="YES",HLOOKUP(E13,'2. AWARDS'!$F$7:$J$47,40,FALSE),0))*L13/76*7.6*AM13*AN13*M13</f>
        <v>0</v>
      </c>
      <c r="AS13" s="683"/>
      <c r="AT13" s="215">
        <f>'1. KEY DATA'!J$29</f>
        <v>0</v>
      </c>
      <c r="AU13" s="216">
        <f>'1. KEY DATA'!J$30</f>
        <v>0.09</v>
      </c>
      <c r="AV13" s="502"/>
      <c r="AW13" s="341">
        <f>IF(OR(E13=0,F13=0),0,IF(OR(O13=0,Q13=0),"date missing",IF(W13&gt;MAX(X13:AA13),((((T13*(V13-D13+1))+( W13*(D13+365-V13-1)))/365*(1+H13+I13)*L13*M13*26.071428)+SUM(AC13:AH13)+SUM(AO13:AQ13))*(1+AT13+AU13)+AR13,IF(OR(N13=0,Y13=0),((((((X13*(O13+Q13-MAX(O13,Q13)-D13+1))+(MIN(Z13,AA13)*(MAX(O13,Q13)-MIN(O13,Q13)))+(MAX(Z13,AA13)*(D13+365-1-MAX(O13,Q13)))))/365)*(1+H13+I13)*L13*M13*26.071428)+SUM(AC13:AH13)+SUM(AO13:AQ13))*(1+AT13+AU13)+AR13,IF(Y13&lt;AND(Z13,AA13),(((((X13*(N13-D13+1))+(Y13*(MIN(O13,Q13)-N13))+(MIN(Z13,AA13)*(MAX(O13,Q13)-MIN(O13,Q13)))+(MAX(Z13,AA13)*(D13+365-MAX(O13,Q13)-1)))/365)*(1+H13+I13)*L13*M13*26.071428)+SUM(AC13:AH13)+SUM(AO13:AQ13))*(1+AT13+AU13)+AR13,IF(Z13&lt;AND(Y13,AA13),((((X13*(O13-D13+1)+(Z13*(MIN(N13,Q13)-O13))+(MIN(Y13,AA13)*(MAX(N13,Q13)-MIN(N13,Q13)))+(MAX(Y13,AA13)*(D13+365-MAX(N13,Q13)-1)))/365)*(1+H13+I13)*L13*M13*26.071428)+SUM(AC13:AH13)+SUM(AO13:AQ13))*(1+AT13+AU13)+AR13,(((((X13*(Q13-D13+1)+(AA13*(MIN(N13,O13)-Q13))+(MIN(Y13,Z13)*(MAX(N13,O13)-MIN(N13,O13)))+(MAX(Y13,Z13)*(D13+365-MAX(N13,O13)-1)))/365)*(1+H13+I13)*L13*M13*26.071428)+SUM(AC13:AH13)+SUM(AO13:AQ13))*(1+AT13+AU13)+AR13)))))))</f>
        <v>0</v>
      </c>
      <c r="AX13" s="175"/>
      <c r="AY13" s="172"/>
      <c r="AZ13" s="451">
        <f>SUM(BA13:BO13)</f>
        <v>0</v>
      </c>
      <c r="BA13" s="402">
        <f>+AW13</f>
        <v>0</v>
      </c>
      <c r="BB13" s="403" t="str">
        <f t="shared" ref="BA13:BO22" si="0">IF($AY13=BB$8,$AW13, "-")</f>
        <v>-</v>
      </c>
      <c r="BC13" s="403" t="str">
        <f t="shared" si="0"/>
        <v>-</v>
      </c>
      <c r="BD13" s="403" t="str">
        <f t="shared" si="0"/>
        <v>-</v>
      </c>
      <c r="BE13" s="403" t="str">
        <f t="shared" si="0"/>
        <v>-</v>
      </c>
      <c r="BF13" s="403" t="str">
        <f t="shared" si="0"/>
        <v>-</v>
      </c>
      <c r="BG13" s="403" t="str">
        <f t="shared" si="0"/>
        <v>-</v>
      </c>
      <c r="BH13" s="403" t="str">
        <f t="shared" si="0"/>
        <v>-</v>
      </c>
      <c r="BI13" s="403" t="str">
        <f t="shared" si="0"/>
        <v>-</v>
      </c>
      <c r="BJ13" s="403" t="str">
        <f t="shared" si="0"/>
        <v>-</v>
      </c>
      <c r="BK13" s="403" t="str">
        <f t="shared" si="0"/>
        <v>-</v>
      </c>
      <c r="BL13" s="403" t="str">
        <f t="shared" si="0"/>
        <v>-</v>
      </c>
      <c r="BM13" s="403" t="str">
        <f t="shared" si="0"/>
        <v>-</v>
      </c>
      <c r="BN13" s="403" t="str">
        <f t="shared" si="0"/>
        <v>-</v>
      </c>
      <c r="BO13" s="404" t="str">
        <f t="shared" si="0"/>
        <v>-</v>
      </c>
      <c r="BP13" s="1539"/>
    </row>
    <row r="14" spans="1:69" s="9" customFormat="1" ht="15.75" thickBot="1">
      <c r="B14" s="213"/>
      <c r="C14" s="214"/>
      <c r="D14" s="699">
        <f t="shared" ref="D14:D43" si="1">D13</f>
        <v>0</v>
      </c>
      <c r="E14" s="697"/>
      <c r="F14" s="900"/>
      <c r="G14" s="701"/>
      <c r="H14" s="693"/>
      <c r="I14" s="694"/>
      <c r="J14" s="1111"/>
      <c r="K14" s="1114"/>
      <c r="L14" s="763"/>
      <c r="M14" s="689"/>
      <c r="N14" s="628"/>
      <c r="O14" s="628"/>
      <c r="P14" s="638">
        <f>P13</f>
        <v>0.03</v>
      </c>
      <c r="Q14" s="797"/>
      <c r="R14" s="673" t="str">
        <f>IF(AND(F14&gt;0.9,F14&lt;3),0.23,IF(AND(F14&gt;2.9,F14&lt;4),0.26,IF(AND(F14&gt;3.9,F14&lt;5),0.32,IF(AND(F14&gt;4.9,F14&lt;6),0.37,IF(AND(F14&gt;5.9,F14&lt;7),0.4,IF(AND(F14&gt;6.9,F14&lt;8),0.42,IF(F14&gt;7.9,0.45,"-")))))))</f>
        <v>-</v>
      </c>
      <c r="S14" s="649"/>
      <c r="T14" s="650">
        <v>0</v>
      </c>
      <c r="U14" s="827"/>
      <c r="V14" s="670"/>
      <c r="W14" s="798">
        <f>T14*(1+U14)</f>
        <v>0</v>
      </c>
      <c r="X14" s="656">
        <f>IF(OR(E14=0,F14=0),0,IF(E14='2. AWARDS'!F$7,VLOOKUP(F14,'2. AWARDS'!$C$9:$F$35,4,FALSE),IF(E14='2. AWARDS'!G$7,VLOOKUP(F14,'2. AWARDS'!$C$9:$G$35,5,FALSE),IF(E14='2. AWARDS'!H$7,VLOOKUP(F14,'2. AWARDS'!$C$9:$H$35,6,FALSE),IF(E14='2. AWARDS'!I$7,VLOOKUP(F14,'2. AWARDS'!$C$9:$I$35,7,FALSE),VLOOKUP(F14,'2. AWARDS'!$C$9:$J$35,8,FALSE))))))</f>
        <v>0</v>
      </c>
      <c r="Y14" s="657">
        <f>IF(OR(E14=0,F14=0),0,IF(AND(N14=0,E14='2. AWARDS'!F$7,VLOOKUP(F14,'2. AWARDS'!$C$9:$O$35,9,FALSE)&lt;&gt;0),"date missing",IF(AND(N14=0,E14='2. AWARDS'!G$7,VLOOKUP(F14,'2. AWARDS'!$C$9:$O$35,10,FALSE)&lt;&gt;0),"date missing",IF(AND(N14=0,E14='2. AWARDS'!H$7,VLOOKUP(F14,'2. AWARDS'!$C$9:$O$35,11,FALSE)&lt;&gt;0),"date missing",IF(AND(N14=0,E14='2. AWARDS'!I$7,VLOOKUP(F14,'2. AWARDS'!$C$9:$O$35,12,FALSE)&lt;&gt;0),"date missing",IF(AND(N14=0,E14='2. AWARDS'!J$7,VLOOKUP(F14,'2. AWARDS'!$C$9:$O$35,13,FALSE)&lt;&gt;0),"date missing",IF(N14=0,0,IF(OR(N14=MIN(O14,Q14),AND(N14&lt;O14,N14&lt;Q14,N14&gt;0)),IF(E14='2. AWARDS'!F$7,VLOOKUP(F14,'2. AWARDS'!$C$9:$O$35,9,FALSE),IF(E14='2. AWARDS'!G$7,VLOOKUP(F14,'2. AWARDS'!$C$9:$O$35,10,FALSE),IF(E14='2. AWARDS'!H$7,VLOOKUP(F14,'2. AWARDS'!$C$9:$O$35,11,FALSE),IF(E14='2. AWARDS'!I$7,VLOOKUP(F14,'2. AWARDS'!$C$9:$O$35,12,FALSE),IF(E14='2. AWARDS'!J$7,VLOOKUP(F14,'2. AWARDS'!$C$9:$O$35,13,FALSE)))))),IF(AND(N14&gt;O14,N14&lt;Q14),IF(E14='2. AWARDS'!F$7,(1+P14)*VLOOKUP(F14,'2. AWARDS'!$C$9:$O$35,9,FALSE),IF(E14='2. AWARDS'!G$7,(1+P14)*VLOOKUP(F14,'2. AWARDS'!$C$9:$O$35,10,FALSE),IF(E14='2. AWARDS'!H$7,(1+P14)*VLOOKUP(F14,'2. AWARDS'!$C$9:$O$35,11,FALSE),IF(E14='2. AWARDS'!I$7,(1+P14)*VLOOKUP(F14,'2. AWARDS'!$C$9:$O$35,12,FALSE),IF(E14='2. AWARDS'!J$7,(1+P14)*VLOOKUP(F14,'2. AWARDS'!$C$9:$O$35,13,FALSE)))))),IF(AND(N14&lt;O14,N14&gt;Q14),IF(E14='2. AWARDS'!F$7,(1+(R14/9))*VLOOKUP(F14,'2. AWARDS'!$C$9:$O$35,9,FALSE),IF(E14='2. AWARDS'!G$7,(1+(R14/9))*VLOOKUP(F14,'2. AWARDS'!$C$9:$O$35,10,FALSE),IF(E14='2. AWARDS'!H$7,(1+(R14/9))*VLOOKUP(F14,'2. AWARDS'!$C$9:$O$35,11,FALSE),IF(E14='2. AWARDS'!I$7,(1+(R14/9))*VLOOKUP(F14,'2. AWARDS'!$C$9:$O$35,12,FALSE),IF(E14='2. AWARDS'!J$7,(1+(R14/9))*VLOOKUP(F14,'2. AWARDS'!$C$9:$O$35,13,FALSE)))))),IF(OR(N14=MAX(O14,Q14),AND(N14&gt;O14,N14&gt;Q14)),IF(E14='2. AWARDS'!F$7,((1+(R14/9))*(1+P14))*VLOOKUP(F14,'2. AWARDS'!$C$9:$O$35,9,FALSE),IF(E14='2. AWARDS'!G$7,((1+(R14/9))*(1+P14))*VLOOKUP(F14,'2. AWARDS'!$C$9:$O$35,10,FALSE),IF(E14='2. AWARDS'!H$7,((1+(R14/9))*(1+P14))*VLOOKUP(F14,'2. AWARDS'!$C$9:$O$35,11,FALSE),IF(E14='2. AWARDS'!I$7,((1+(R14/9))*(1+P14))*VLOOKUP(F14,'2. AWARDS'!$C$9:$O$35,12,FALSE),IF(E14='2. AWARDS'!J$7,((1+(R14/9))*(1+P14))*VLOOKUP(F14,'2. AWARDS'!$C$9:$O$35,13,FALSE)))))),"?")))))))))))</f>
        <v>0</v>
      </c>
      <c r="Z14" s="656" t="e">
        <f>IF(AND(E14='2. AWARDS'!F$7,O14&gt;N14,O14&gt;Q14,VLOOKUP(F14,'2. AWARDS'!$C$9:$O$35,9,FALSE)&lt;&gt;0),VLOOKUP(F14,'2. AWARDS'!$C$9:$O$35,9,FALSE)*(1+P14)*(1+(R14/9)),IF(AND(E14='2. AWARDS'!F$7,O14&gt;N14,O14&gt;Q14,VLOOKUP(F14,'2. AWARDS'!$C$9:$O$35,9,FALSE)=0),X14*(1+P14)*(1+(R14/9)),IF(AND(E14='2. AWARDS'!G$7,O14&gt;N14,O14&gt;Q14,VLOOKUP(F14,'2. AWARDS'!$C$9:$O$35,10,FALSE)&lt;&gt;0),VLOOKUP(F14,'2. AWARDS'!$C$9:$O$35,10,FALSE)*(1+P14)*(1+(R14/9)),IF(AND(E14='2. AWARDS'!G$7,O14&gt;N14,O14&gt;Q14,VLOOKUP(F14,'2. AWARDS'!$C$9:$O$35,10,FALSE)=0),X14*(1+P14)*(1+(R14/9)),IF(AND(E14='2. AWARDS'!H$7,O14&gt;N14,O14&gt;Q14,VLOOKUP(F14,'2. AWARDS'!$C$9:$O$35,11,FALSE)&lt;&gt;0),VLOOKUP(F14,'2. AWARDS'!$C$9:$O$35,11,FALSE)*(1+P14)*(1+(R14/9)),IF(AND(E14='2. AWARDS'!H$7,O14&gt;N14,O14&gt;Q14,VLOOKUP(F14,'2. AWARDS'!$C$9:$O$35,11,FALSE)=0),X14*(1+P14)*(1+(R14/9)),IF(AND(E14='2. AWARDS'!I$7,O14&gt;N14,O14&gt;Q14,VLOOKUP(F14,'2. AWARDS'!$C$9:$O$35,12,FALSE)&lt;&gt;0),VLOOKUP(F14,'2. AWARDS'!$C$9:$O$35,12,FALSE)*(1+P14)*(1+(R14/9)),IF(AND(E14='2. AWARDS'!I$7,O14&gt;N14,O14&gt;Q14,VLOOKUP(F14,'2. AWARDS'!$C$9:$O$35,12,FALSE)=0),X14*(1+P14)*(1+(R14/9)),IF(AND(E14='2. AWARDS'!J$7,O14&gt;N14,O14&gt;Q14,VLOOKUP(F14,'2. AWARDS'!$C$9:$O$35,13,FALSE)&lt;&gt;0),VLOOKUP(F14,'2. AWARDS'!$C$9:$O$35,13,FALSE)*(1+P14)*(1+(R14/9)),IF(AND(E14='2. AWARDS'!J$7,O14&gt;N14,O14&gt;Q14,VLOOKUP(F14,'2. AWARDS'!$C$9:$O$35,13,FALSE)=0),X14*(1+P14)*(1+(R14/9)),IF(AND(O14&lt;N14,O14&gt;Q14),X14*(1+P14)*(1+(R14/9)),IF(AND(E14='2. AWARDS'!F$7,O14=MAX(N14,Q14),VLOOKUP(F14,'2. AWARDS'!$C$9:$O$35,9,FALSE)&lt;&gt;0),VLOOKUP(F14,'2. AWARDS'!$C$9:$O$35,9,FALSE)*(1+P14)*(1+(R14/9)),IF(AND(E14='2. AWARDS'!F$7,O14=MAX(N14,Q14),VLOOKUP(F14,'2. AWARDS'!$C$9:$O$35,9,FALSE)=0),X14*(1+P14)*(1+(R14/9)),IF(AND(E14='2. AWARDS'!G$7,O14=MAX(N14,Q14),VLOOKUP(F14,'2. AWARDS'!$C$9:$O$35,10,FALSE)&lt;&gt;0),VLOOKUP(F14,'2. AWARDS'!$C$9:$O$35,10,FALSE)*(1+P14)*(1+(R14/9)),IF(AND(E14='2. AWARDS'!G$7,O14=MAX(N14,Q14),VLOOKUP(F14,'2. AWARDS'!$C$9:$O$35,10,FALSE)=0),X14*(1+P14)*(1+(R14/9)),IF(AND(E14='2. AWARDS'!H$7,O14=MAX(N14,Q14),VLOOKUP(F14,'2. AWARDS'!$C$9:$O$35,11,FALSE)&lt;&gt;0),VLOOKUP(F14,'2. AWARDS'!$C$9:$O$35,11,FALSE)*(1+P14)*(1+(R14/9)),IF(AND(E14='2. AWARDS'!H$7,O14=MAX(N14,Q14),VLOOKUP(F14,'2. AWARDS'!$C$9:$O$35,11,FALSE)=0),X14*(1+P14)*(1+(R14/9)),IF(AND(E14='2. AWARDS'!I$7,O14=MAX(N14,Q14),VLOOKUP(F14,'2. AWARDS'!$C$9:$O$35,12,FALSE)&lt;&gt;0),VLOOKUP(F14,'2. AWARDS'!$C$9:$O$35,12,FALSE)*(1+P14)*(1+(R14/9)),IF(AND(E14='2. AWARDS'!I$7,O14=MAX(N14,Q14),VLOOKUP(F14,'2. AWARDS'!$C$9:$O$35,12,FALSE)=0),X14*(1+P14)*(1+(R14/9)),IF(AND(E14='2. AWARDS'!J$7,O14=MAX(N14,Q14),VLOOKUP(F14,'2. AWARDS'!$C$9:$O$35,13,FALSE)&lt;&gt;0),VLOOKUP(F14,'2. AWARDS'!$C$9:$O$35,13,FALSE)*(1+P14)*(1+(R14/9)),IF(AND(E14='2. AWARDS'!J$7,O14=MAX(N14,Q14),VLOOKUP(F14,'2. AWARDS'!$C$9:$O$35,13,FALSE)=0),X14*(1+P14)*(1+(R14/9)),IF(AND(O14&lt;N14,O14&lt;Q14),X14*(1+P14),IF(AND(O14=N14,N14&lt;Q14,E14='2. AWARDS'!F$7),VLOOKUP(F14,'2. AWARDS'!$C$9:$O$35,9,FALSE)*(1+P14),IF(AND(O14=N14,N14&lt;Q14,E14='2. AWARDS'!G$7),VLOOKUP(F14,'2. AWARDS'!$C$9:$O$35,10,FALSE)*(1+P14),IF(AND(O14=N14,N14&lt;Q14,E14='2. AWARDS'!H$7),VLOOKUP(F14,'2. AWARDS'!$C$9:$O$35,11,FALSE)*(1+P14),IF(AND(O14=N14,N14&lt;Q14,E14='2. AWARDS'!I$7),VLOOKUP(F14,'2. AWARDS'!$C$9:$O$35,12,FALSE)*(1+P14),IF(AND(O14=N14,N14&lt;Q14,E14='2. AWARDS'!J$7),VLOOKUP(F14,'2. AWARDS'!$C$9:$O$35,13,FALSE)*(1+P14),IF(AND(O14=Q14,N14&gt;Q14),X14*(1+P14)*(1+(R14/9)),IF(AND(E14='2. AWARDS'!F$7,O14&gt;N14,O14&lt;Q14,VLOOKUP(F14,'2. AWARDS'!$C$9:$O$35,9,FALSE)&lt;&gt;0),VLOOKUP(F14,'2. AWARDS'!$C$9:$O$35,9,FALSE)*(1+P14),IF(AND(E14='2. AWARDS'!G$7,O14&gt;N14,O14&lt;Q14,VLOOKUP(F14,'2. AWARDS'!$C$9:$O$35,10,FALSE)&lt;&gt;0),VLOOKUP(F14,'2. AWARDS'!$C$9:$O$35,10,FALSE)*(1+P14),IF(AND(E14='2. AWARDS'!H$7,O14&gt;N14,O14&lt;Q14,VLOOKUP(F14,'2. AWARDS'!$C$9:$O$35,11,FALSE)&lt;&gt;0),VLOOKUP(F14,'2. AWARDS'!$C$9:$O$35,11,FALSE)*(1+P14),IF(AND(E14='2. AWARDS'!I$7,O14&gt;N14,O14&lt;Q14,VLOOKUP(F14,'2. AWARDS'!$C$9:$O$35,12,FALSE)&lt;&gt;0),VLOOKUP(F14,'2. AWARDS'!$C$9:$O$35,12,FALSE)*(1+P14),IF(AND(E14='2. AWARDS'!J$7,O14&gt;N14,O14&lt;Q14,VLOOKUP(F14,'2. AWARDS'!$C$9:$O$35,13,FALSE)&lt;&gt;0),VLOOKUP(F14,'2. AWARDS'!$C$9:$O$35,13,FALSE)*(1+P14),X14*(1+P14))))))))))))))))))))))))))))))))))</f>
        <v>#N/A</v>
      </c>
      <c r="AA14" s="661" t="e">
        <f t="shared" ref="AA14:AA43" si="2">IF(OR(Q14=MAX(N14,O14),AND(Q14&gt;O14,Q14&gt;N14)),(MAX(Y14,Z14)*(R14/9))+MAX(Y14:Z14),IF(OR(Q14=MIN(N14,O14),AND(Q14&lt;N14,Q14&lt;O14)),X14*(1+(R14/9)),IF(AND(Q14&lt;O14,Q14&gt;N14,Y14&gt;0),Y14*(1+(R14/9)),IF(AND(Q14&lt;O14,Q14&gt;N14,Y14=0),X14*(1+(R14/9)),X14*(1+P14)*(1+(R14/9))))))</f>
        <v>#N/A</v>
      </c>
      <c r="AB14" s="683"/>
      <c r="AC14" s="774"/>
      <c r="AD14" s="774"/>
      <c r="AE14" s="777"/>
      <c r="AF14" s="781">
        <f>IF(J14="YES",L14*MAX(W14:AA14)*K14,0)</f>
        <v>0</v>
      </c>
      <c r="AG14" s="781" t="e">
        <f>HLOOKUP(E14,'2. AWARDS'!$F$7:$J$40,32,FALSE)/5*HLOOKUP(E14,'2. AWARDS'!$F$7:$J$40,31,FALSE)*MAX(W14:AA14)*M14*HLOOKUP(E14,'2. AWARDS'!$F$7:$J$40,34,FALSE)*L14/(38*2)</f>
        <v>#N/A</v>
      </c>
      <c r="AH14" s="783" t="e">
        <f>((HLOOKUP(E14,'2. AWARDS'!$F$7:$J$42,36,FALSE)/HLOOKUP(E14,'2. AWARDS'!$F$7:$J$42,35,FALSE)*HLOOKUP(E14,'2. AWARDS'!$F$7:$J$45,39,FALSE))/(HLOOKUP(E14,'2. AWARDS'!$F$7:$J$45,31,FALSE)*2)*L14*M14*HLOOKUP(E14,'2. AWARDS'!$F$7:$J$45,31,FALSE)*MAX(W14:AA14))</f>
        <v>#N/A</v>
      </c>
      <c r="AI14" s="474"/>
      <c r="AJ14" s="800"/>
      <c r="AK14" s="800"/>
      <c r="AL14" s="801"/>
      <c r="AM14" s="802"/>
      <c r="AN14" s="805"/>
      <c r="AO14" s="836">
        <f>IF(AJ14="YES",HLOOKUP(E14,'2. AWARDS'!$F$7:$J$38,32,FALSE)/5*HLOOKUP(E14,'2. AWARDS'!$F$7:$J$37,31,FALSE)*L14/(HLOOKUP(E14,'2. AWARDS'!$F$7:$J$37,31,FALSE)*2)*M14*MAX(W14:AA14)*(1+HLOOKUP(E14,'2. AWARDS'!$F$7:$J$43,37,FALSE))*(1-AM14),0)</f>
        <v>0</v>
      </c>
      <c r="AP14" s="836">
        <f>IF(AK14="YES",HLOOKUP(E14,'2. AWARDS'!$F$7:$J$39,33,FALSE)/5*HLOOKUP(E14,'2. AWARDS'!$F$7:$J$37,31,FALSE)*L14/(HLOOKUP(E14,'2. AWARDS'!$F$7:$J$37,31,FALSE)*2)*M14*MAX(W14:AA14)*(1+HLOOKUP(E14,'2. AWARDS'!$F$7:$J$43,37,FALSE))*(1-AM14),0)</f>
        <v>0</v>
      </c>
      <c r="AQ14" s="838">
        <f>IF(AL14="YES",HLOOKUP(E14,'2. AWARDS'!$F$7:$J$47,40,FALSE)/5*HLOOKUP(E14,'2. AWARDS'!$F$7:$J$37,31,FALSE)*L14/(HLOOKUP(E14,'2. AWARDS'!$F$7:$J$37,31,FALSE)*2)*M14*MAX(W14:AA14)*(1+HLOOKUP(E14,'2. AWARDS'!$F$7:$J$43,37,FALSE))*(1-AM14),0)</f>
        <v>0</v>
      </c>
      <c r="AR14" s="839">
        <f>(IF(AJ14="YES",HLOOKUP(E14,'2. AWARDS'!$F$7:$J$39,32,FALSE),0)+IF(AK14="YES",HLOOKUP(E14,'2. AWARDS'!$F$7:$J$39,33,FALSE),0)+IF(AL14="YES",HLOOKUP(E14,'2. AWARDS'!$F$7:$J$47,40,FALSE),0))*L14/76*7.6*AM14*AN14*M14</f>
        <v>0</v>
      </c>
      <c r="AS14" s="683"/>
      <c r="AT14" s="215">
        <f>'1. KEY DATA'!J$29</f>
        <v>0</v>
      </c>
      <c r="AU14" s="218">
        <f>'1. KEY DATA'!J$30</f>
        <v>0.09</v>
      </c>
      <c r="AV14" s="502"/>
      <c r="AW14" s="1104">
        <f t="shared" ref="AW14:AW43" si="3">IF(OR(E14=0,F14=0),0,IF(OR(O14=0,Q14=0),"date missing",IF(W14&gt;MAX(X14:AA14),((((T14*(V14-D14+1))+( W14*(D14+365-V14-1)))/365*(1+H14+I14)*L14*M14*26.071428)+SUM(AC14:AH14)+SUM(AO14:AQ14))*(1+AT14+AU14)+AR14,IF(OR(N14=0,Y14=0),((((((X14*(O14+Q14-MAX(O14,Q14)-D14+1))+(MIN(Z14,AA14)*(MAX(O14,Q14)-MIN(O14,Q14)))+(MAX(Z14,AA14)*(D14+365-1-MAX(O14,Q14)))))/365)*(1+H14+I14)*L14*M14*26.071428)+SUM(AC14:AH14)+SUM(AO14:AQ14))*(1+AT14+AU14)+AR14,IF(Y14&lt;AND(Z14,AA14),(((((X14*(N14-D14+1))+(Y14*(MIN(O14,Q14)-N14))+(MIN(Z14,AA14)*(MAX(O14,Q14)-MIN(O14,Q14)))+(MAX(Z14,AA14)*(D14+365-MAX(O14,Q14)-1)))/365)*(1+H14+I14)*L14*M14*26.071428)+SUM(AC14:AH14)+SUM(AO14:AQ14))*(1+AT14+AU14)+AR14,IF(Z14&lt;AND(Y14,AA14),((((X14*(O14-D14+1)+(Z14*(MIN(N14,Q14)-O14))+(MIN(Y14,AA14)*(MAX(N14,Q14)-MIN(N14,Q14)))+(MAX(Y14,AA14)*(D14+365-MAX(N14,Q14)-1)))/365)*(1+H14+I14)*L14*M14*26.071428)+SUM(AC14:AH14)+SUM(AO14:AQ14))*(1+AT14+AU14)+AR14,(((((X14*(Q14-D14+1)+(AA14*(MIN(N14,O14)-Q14))+(MIN(Y14,Z14)*(MAX(N14,O14)-MIN(N14,O14)))+(MAX(Y14,Z14)*(D14+365-MAX(N14,O14)-1)))/365)*(1+H14+I14)*L14*M14*26.071428)+SUM(AC14:AH14)+SUM(AO14:AQ14))*(1+AT14+AU14)+AR14)))))))</f>
        <v>0</v>
      </c>
      <c r="AX14" s="176"/>
      <c r="AY14" s="173"/>
      <c r="AZ14" s="452">
        <f t="shared" ref="AZ14:AZ43" si="4">SUM(BA14:BO14)</f>
        <v>0</v>
      </c>
      <c r="BA14" s="402">
        <f t="shared" ref="BA14:BA19" si="5">+AW14</f>
        <v>0</v>
      </c>
      <c r="BB14" s="406" t="str">
        <f t="shared" si="0"/>
        <v>-</v>
      </c>
      <c r="BC14" s="406" t="str">
        <f t="shared" si="0"/>
        <v>-</v>
      </c>
      <c r="BD14" s="406" t="str">
        <f t="shared" si="0"/>
        <v>-</v>
      </c>
      <c r="BE14" s="406" t="str">
        <f t="shared" si="0"/>
        <v>-</v>
      </c>
      <c r="BF14" s="406" t="str">
        <f t="shared" si="0"/>
        <v>-</v>
      </c>
      <c r="BG14" s="406" t="str">
        <f t="shared" si="0"/>
        <v>-</v>
      </c>
      <c r="BH14" s="406" t="str">
        <f t="shared" si="0"/>
        <v>-</v>
      </c>
      <c r="BI14" s="406" t="str">
        <f t="shared" si="0"/>
        <v>-</v>
      </c>
      <c r="BJ14" s="406" t="str">
        <f t="shared" si="0"/>
        <v>-</v>
      </c>
      <c r="BK14" s="406" t="str">
        <f t="shared" si="0"/>
        <v>-</v>
      </c>
      <c r="BL14" s="406" t="str">
        <f t="shared" si="0"/>
        <v>-</v>
      </c>
      <c r="BM14" s="406" t="str">
        <f t="shared" si="0"/>
        <v>-</v>
      </c>
      <c r="BN14" s="406" t="str">
        <f t="shared" si="0"/>
        <v>-</v>
      </c>
      <c r="BO14" s="407" t="str">
        <f t="shared" si="0"/>
        <v>-</v>
      </c>
      <c r="BP14" s="1539"/>
    </row>
    <row r="15" spans="1:69" s="9" customFormat="1" ht="15.75" thickBot="1">
      <c r="B15" s="1180"/>
      <c r="C15" s="80"/>
      <c r="D15" s="699">
        <f t="shared" si="1"/>
        <v>0</v>
      </c>
      <c r="E15" s="697"/>
      <c r="F15" s="900"/>
      <c r="G15" s="702"/>
      <c r="H15" s="693"/>
      <c r="I15" s="694"/>
      <c r="J15" s="1111"/>
      <c r="K15" s="1114"/>
      <c r="L15" s="763"/>
      <c r="M15" s="689"/>
      <c r="N15" s="628"/>
      <c r="O15" s="628"/>
      <c r="P15" s="638">
        <f t="shared" ref="P15:P43" si="6">P14</f>
        <v>0.03</v>
      </c>
      <c r="Q15" s="797"/>
      <c r="R15" s="673" t="str">
        <f t="shared" ref="R15:R43" si="7">IF(AND(F15&gt;0.9,F15&lt;3),0.23,IF(AND(F15&gt;2.9,F15&lt;4),0.26,IF(AND(F15&gt;3.9,F15&lt;5),0.32,IF(AND(F15&gt;4.9,F15&lt;6),0.37,IF(AND(F15&gt;5.9,F15&lt;7),0.4,IF(AND(F15&gt;6.9,F15&lt;8),0.42,IF(F15&gt;7.9,0.45,"-")))))))</f>
        <v>-</v>
      </c>
      <c r="S15" s="649"/>
      <c r="T15" s="650">
        <v>0</v>
      </c>
      <c r="U15" s="827"/>
      <c r="V15" s="670"/>
      <c r="W15" s="798">
        <f t="shared" ref="W15:W43" si="8">T15*(1+U15)</f>
        <v>0</v>
      </c>
      <c r="X15" s="656">
        <f>IF(OR(E15=0,F15=0),0,IF(E15='2. AWARDS'!F$7,VLOOKUP(F15,'2. AWARDS'!$C$9:$F$35,4,FALSE),IF(E15='2. AWARDS'!G$7,VLOOKUP(F15,'2. AWARDS'!$C$9:$G$35,5,FALSE),IF(E15='2. AWARDS'!H$7,VLOOKUP(F15,'2. AWARDS'!$C$9:$H$35,6,FALSE),IF(E15='2. AWARDS'!I$7,VLOOKUP(F15,'2. AWARDS'!$C$9:$I$35,7,FALSE),VLOOKUP(F15,'2. AWARDS'!$C$9:$J$35,8,FALSE))))))</f>
        <v>0</v>
      </c>
      <c r="Y15" s="657">
        <f>IF(OR(E15=0,F15=0),0,IF(AND(N15=0,E15='2. AWARDS'!F$7,VLOOKUP(F15,'2. AWARDS'!$C$9:$O$35,9,FALSE)&lt;&gt;0),"date missing",IF(AND(N15=0,E15='2. AWARDS'!G$7,VLOOKUP(F15,'2. AWARDS'!$C$9:$O$35,10,FALSE)&lt;&gt;0),"date missing",IF(AND(N15=0,E15='2. AWARDS'!H$7,VLOOKUP(F15,'2. AWARDS'!$C$9:$O$35,11,FALSE)&lt;&gt;0),"date missing",IF(AND(N15=0,E15='2. AWARDS'!I$7,VLOOKUP(F15,'2. AWARDS'!$C$9:$O$35,12,FALSE)&lt;&gt;0),"date missing",IF(AND(N15=0,E15='2. AWARDS'!J$7,VLOOKUP(F15,'2. AWARDS'!$C$9:$O$35,13,FALSE)&lt;&gt;0),"date missing",IF(N15=0,0,IF(OR(N15=MIN(O15,Q15),AND(N15&lt;O15,N15&lt;Q15,N15&gt;0)),IF(E15='2. AWARDS'!F$7,VLOOKUP(F15,'2. AWARDS'!$C$9:$O$35,9,FALSE),IF(E15='2. AWARDS'!G$7,VLOOKUP(F15,'2. AWARDS'!$C$9:$O$35,10,FALSE),IF(E15='2. AWARDS'!H$7,VLOOKUP(F15,'2. AWARDS'!$C$9:$O$35,11,FALSE),IF(E15='2. AWARDS'!I$7,VLOOKUP(F15,'2. AWARDS'!$C$9:$O$35,12,FALSE),IF(E15='2. AWARDS'!J$7,VLOOKUP(F15,'2. AWARDS'!$C$9:$O$35,13,FALSE)))))),IF(AND(N15&gt;O15,N15&lt;Q15),IF(E15='2. AWARDS'!F$7,(1+P15)*VLOOKUP(F15,'2. AWARDS'!$C$9:$O$35,9,FALSE),IF(E15='2. AWARDS'!G$7,(1+P15)*VLOOKUP(F15,'2. AWARDS'!$C$9:$O$35,10,FALSE),IF(E15='2. AWARDS'!H$7,(1+P15)*VLOOKUP(F15,'2. AWARDS'!$C$9:$O$35,11,FALSE),IF(E15='2. AWARDS'!I$7,(1+P15)*VLOOKUP(F15,'2. AWARDS'!$C$9:$O$35,12,FALSE),IF(E15='2. AWARDS'!J$7,(1+P15)*VLOOKUP(F15,'2. AWARDS'!$C$9:$O$35,13,FALSE)))))),IF(AND(N15&lt;O15,N15&gt;Q15),IF(E15='2. AWARDS'!F$7,(1+(R15/9))*VLOOKUP(F15,'2. AWARDS'!$C$9:$O$35,9,FALSE),IF(E15='2. AWARDS'!G$7,(1+(R15/9))*VLOOKUP(F15,'2. AWARDS'!$C$9:$O$35,10,FALSE),IF(E15='2. AWARDS'!H$7,(1+(R15/9))*VLOOKUP(F15,'2. AWARDS'!$C$9:$O$35,11,FALSE),IF(E15='2. AWARDS'!I$7,(1+(R15/9))*VLOOKUP(F15,'2. AWARDS'!$C$9:$O$35,12,FALSE),IF(E15='2. AWARDS'!J$7,(1+(R15/9))*VLOOKUP(F15,'2. AWARDS'!$C$9:$O$35,13,FALSE)))))),IF(OR(N15=MAX(O15,Q15),AND(N15&gt;O15,N15&gt;Q15)),IF(E15='2. AWARDS'!F$7,((1+(R15/9))*(1+P15))*VLOOKUP(F15,'2. AWARDS'!$C$9:$O$35,9,FALSE),IF(E15='2. AWARDS'!G$7,((1+(R15/9))*(1+P15))*VLOOKUP(F15,'2. AWARDS'!$C$9:$O$35,10,FALSE),IF(E15='2. AWARDS'!H$7,((1+(R15/9))*(1+P15))*VLOOKUP(F15,'2. AWARDS'!$C$9:$O$35,11,FALSE),IF(E15='2. AWARDS'!I$7,((1+(R15/9))*(1+P15))*VLOOKUP(F15,'2. AWARDS'!$C$9:$O$35,12,FALSE),IF(E15='2. AWARDS'!J$7,((1+(R15/9))*(1+P15))*VLOOKUP(F15,'2. AWARDS'!$C$9:$O$35,13,FALSE)))))),"?")))))))))))</f>
        <v>0</v>
      </c>
      <c r="Z15" s="656" t="e">
        <f>IF(AND(E15='2. AWARDS'!F$7,O15&gt;N15,O15&gt;Q15,VLOOKUP(F15,'2. AWARDS'!$C$9:$O$35,9,FALSE)&lt;&gt;0),VLOOKUP(F15,'2. AWARDS'!$C$9:$O$35,9,FALSE)*(1+P15)*(1+(R15/9)),IF(AND(E15='2. AWARDS'!F$7,O15&gt;N15,O15&gt;Q15,VLOOKUP(F15,'2. AWARDS'!$C$9:$O$35,9,FALSE)=0),X15*(1+P15)*(1+(R15/9)),IF(AND(E15='2. AWARDS'!G$7,O15&gt;N15,O15&gt;Q15,VLOOKUP(F15,'2. AWARDS'!$C$9:$O$35,10,FALSE)&lt;&gt;0),VLOOKUP(F15,'2. AWARDS'!$C$9:$O$35,10,FALSE)*(1+P15)*(1+(R15/9)),IF(AND(E15='2. AWARDS'!G$7,O15&gt;N15,O15&gt;Q15,VLOOKUP(F15,'2. AWARDS'!$C$9:$O$35,10,FALSE)=0),X15*(1+P15)*(1+(R15/9)),IF(AND(E15='2. AWARDS'!H$7,O15&gt;N15,O15&gt;Q15,VLOOKUP(F15,'2. AWARDS'!$C$9:$O$35,11,FALSE)&lt;&gt;0),VLOOKUP(F15,'2. AWARDS'!$C$9:$O$35,11,FALSE)*(1+P15)*(1+(R15/9)),IF(AND(E15='2. AWARDS'!H$7,O15&gt;N15,O15&gt;Q15,VLOOKUP(F15,'2. AWARDS'!$C$9:$O$35,11,FALSE)=0),X15*(1+P15)*(1+(R15/9)),IF(AND(E15='2. AWARDS'!I$7,O15&gt;N15,O15&gt;Q15,VLOOKUP(F15,'2. AWARDS'!$C$9:$O$35,12,FALSE)&lt;&gt;0),VLOOKUP(F15,'2. AWARDS'!$C$9:$O$35,12,FALSE)*(1+P15)*(1+(R15/9)),IF(AND(E15='2. AWARDS'!I$7,O15&gt;N15,O15&gt;Q15,VLOOKUP(F15,'2. AWARDS'!$C$9:$O$35,12,FALSE)=0),X15*(1+P15)*(1+(R15/9)),IF(AND(E15='2. AWARDS'!J$7,O15&gt;N15,O15&gt;Q15,VLOOKUP(F15,'2. AWARDS'!$C$9:$O$35,13,FALSE)&lt;&gt;0),VLOOKUP(F15,'2. AWARDS'!$C$9:$O$35,13,FALSE)*(1+P15)*(1+(R15/9)),IF(AND(E15='2. AWARDS'!J$7,O15&gt;N15,O15&gt;Q15,VLOOKUP(F15,'2. AWARDS'!$C$9:$O$35,13,FALSE)=0),X15*(1+P15)*(1+(R15/9)),IF(AND(O15&lt;N15,O15&gt;Q15),X15*(1+P15)*(1+(R15/9)),IF(AND(E15='2. AWARDS'!F$7,O15=MAX(N15,Q15),VLOOKUP(F15,'2. AWARDS'!$C$9:$O$35,9,FALSE)&lt;&gt;0),VLOOKUP(F15,'2. AWARDS'!$C$9:$O$35,9,FALSE)*(1+P15)*(1+(R15/9)),IF(AND(E15='2. AWARDS'!F$7,O15=MAX(N15,Q15),VLOOKUP(F15,'2. AWARDS'!$C$9:$O$35,9,FALSE)=0),X15*(1+P15)*(1+(R15/9)),IF(AND(E15='2. AWARDS'!G$7,O15=MAX(N15,Q15),VLOOKUP(F15,'2. AWARDS'!$C$9:$O$35,10,FALSE)&lt;&gt;0),VLOOKUP(F15,'2. AWARDS'!$C$9:$O$35,10,FALSE)*(1+P15)*(1+(R15/9)),IF(AND(E15='2. AWARDS'!G$7,O15=MAX(N15,Q15),VLOOKUP(F15,'2. AWARDS'!$C$9:$O$35,10,FALSE)=0),X15*(1+P15)*(1+(R15/9)),IF(AND(E15='2. AWARDS'!H$7,O15=MAX(N15,Q15),VLOOKUP(F15,'2. AWARDS'!$C$9:$O$35,11,FALSE)&lt;&gt;0),VLOOKUP(F15,'2. AWARDS'!$C$9:$O$35,11,FALSE)*(1+P15)*(1+(R15/9)),IF(AND(E15='2. AWARDS'!H$7,O15=MAX(N15,Q15),VLOOKUP(F15,'2. AWARDS'!$C$9:$O$35,11,FALSE)=0),X15*(1+P15)*(1+(R15/9)),IF(AND(E15='2. AWARDS'!I$7,O15=MAX(N15,Q15),VLOOKUP(F15,'2. AWARDS'!$C$9:$O$35,12,FALSE)&lt;&gt;0),VLOOKUP(F15,'2. AWARDS'!$C$9:$O$35,12,FALSE)*(1+P15)*(1+(R15/9)),IF(AND(E15='2. AWARDS'!I$7,O15=MAX(N15,Q15),VLOOKUP(F15,'2. AWARDS'!$C$9:$O$35,12,FALSE)=0),X15*(1+P15)*(1+(R15/9)),IF(AND(E15='2. AWARDS'!J$7,O15=MAX(N15,Q15),VLOOKUP(F15,'2. AWARDS'!$C$9:$O$35,13,FALSE)&lt;&gt;0),VLOOKUP(F15,'2. AWARDS'!$C$9:$O$35,13,FALSE)*(1+P15)*(1+(R15/9)),IF(AND(E15='2. AWARDS'!J$7,O15=MAX(N15,Q15),VLOOKUP(F15,'2. AWARDS'!$C$9:$O$35,13,FALSE)=0),X15*(1+P15)*(1+(R15/9)),IF(AND(O15&lt;N15,O15&lt;Q15),X15*(1+P15),IF(AND(O15=N15,N15&lt;Q15,E15='2. AWARDS'!F$7),VLOOKUP(F15,'2. AWARDS'!$C$9:$O$35,9,FALSE)*(1+P15),IF(AND(O15=N15,N15&lt;Q15,E15='2. AWARDS'!G$7),VLOOKUP(F15,'2. AWARDS'!$C$9:$O$35,10,FALSE)*(1+P15),IF(AND(O15=N15,N15&lt;Q15,E15='2. AWARDS'!H$7),VLOOKUP(F15,'2. AWARDS'!$C$9:$O$35,11,FALSE)*(1+P15),IF(AND(O15=N15,N15&lt;Q15,E15='2. AWARDS'!I$7),VLOOKUP(F15,'2. AWARDS'!$C$9:$O$35,12,FALSE)*(1+P15),IF(AND(O15=N15,N15&lt;Q15,E15='2. AWARDS'!J$7),VLOOKUP(F15,'2. AWARDS'!$C$9:$O$35,13,FALSE)*(1+P15),IF(AND(O15=Q15,N15&gt;Q15),X15*(1+P15)*(1+(R15/9)),IF(AND(E15='2. AWARDS'!F$7,O15&gt;N15,O15&lt;Q15,VLOOKUP(F15,'2. AWARDS'!$C$9:$O$35,9,FALSE)&lt;&gt;0),VLOOKUP(F15,'2. AWARDS'!$C$9:$O$35,9,FALSE)*(1+P15),IF(AND(E15='2. AWARDS'!G$7,O15&gt;N15,O15&lt;Q15,VLOOKUP(F15,'2. AWARDS'!$C$9:$O$35,10,FALSE)&lt;&gt;0),VLOOKUP(F15,'2. AWARDS'!$C$9:$O$35,10,FALSE)*(1+P15),IF(AND(E15='2. AWARDS'!H$7,O15&gt;N15,O15&lt;Q15,VLOOKUP(F15,'2. AWARDS'!$C$9:$O$35,11,FALSE)&lt;&gt;0),VLOOKUP(F15,'2. AWARDS'!$C$9:$O$35,11,FALSE)*(1+P15),IF(AND(E15='2. AWARDS'!I$7,O15&gt;N15,O15&lt;Q15,VLOOKUP(F15,'2. AWARDS'!$C$9:$O$35,12,FALSE)&lt;&gt;0),VLOOKUP(F15,'2. AWARDS'!$C$9:$O$35,12,FALSE)*(1+P15),IF(AND(E15='2. AWARDS'!J$7,O15&gt;N15,O15&lt;Q15,VLOOKUP(F15,'2. AWARDS'!$C$9:$O$35,13,FALSE)&lt;&gt;0),VLOOKUP(F15,'2. AWARDS'!$C$9:$O$35,13,FALSE)*(1+P15),X15*(1+P15))))))))))))))))))))))))))))))))))</f>
        <v>#N/A</v>
      </c>
      <c r="AA15" s="661" t="e">
        <f t="shared" si="2"/>
        <v>#N/A</v>
      </c>
      <c r="AB15" s="683"/>
      <c r="AC15" s="774"/>
      <c r="AD15" s="774"/>
      <c r="AE15" s="774"/>
      <c r="AF15" s="781">
        <f>IF(J15="YES",L15*MAX(W15:AA15)*K15,0)</f>
        <v>0</v>
      </c>
      <c r="AG15" s="781" t="e">
        <f>HLOOKUP(E15,'2. AWARDS'!$F$7:$J$40,32,FALSE)/5*HLOOKUP(E15,'2. AWARDS'!$F$7:$J$40,31,FALSE)*MAX(W15:AA15)*M15*HLOOKUP(E15,'2. AWARDS'!$F$7:$J$40,34,FALSE)*L15/(38*2)</f>
        <v>#N/A</v>
      </c>
      <c r="AH15" s="783" t="e">
        <f>((HLOOKUP(E15,'2. AWARDS'!$F$7:$J$42,36,FALSE)/HLOOKUP(E15,'2. AWARDS'!$F$7:$J$42,35,FALSE)*HLOOKUP(E15,'2. AWARDS'!$F$7:$J$45,39,FALSE))/(HLOOKUP(E15,'2. AWARDS'!$F$7:$J$45,31,FALSE)*2)*L15*M15*HLOOKUP(E15,'2. AWARDS'!$F$7:$J$45,31,FALSE)*MAX(W15:AA15))</f>
        <v>#N/A</v>
      </c>
      <c r="AI15" s="474"/>
      <c r="AJ15" s="800"/>
      <c r="AK15" s="800"/>
      <c r="AL15" s="801"/>
      <c r="AM15" s="802"/>
      <c r="AN15" s="805"/>
      <c r="AO15" s="836">
        <f>IF(AJ15="YES",HLOOKUP(E15,'2. AWARDS'!$F$7:$J$38,32,FALSE)/5*HLOOKUP(E15,'2. AWARDS'!$F$7:$J$37,31,FALSE)*L15/(HLOOKUP(E15,'2. AWARDS'!$F$7:$J$37,31,FALSE)*2)*M15*MAX(W15:AA15)*(1+HLOOKUP(E15,'2. AWARDS'!$F$7:$J$43,37,FALSE))*(1-AM15),0)</f>
        <v>0</v>
      </c>
      <c r="AP15" s="836">
        <f>IF(AK15="YES",HLOOKUP(E15,'2. AWARDS'!$F$7:$J$39,33,FALSE)/5*HLOOKUP(E15,'2. AWARDS'!$F$7:$J$37,31,FALSE)*L15/(HLOOKUP(E15,'2. AWARDS'!$F$7:$J$37,31,FALSE)*2)*M15*MAX(W15:AA15)*(1+HLOOKUP(E15,'2. AWARDS'!$F$7:$J$43,37,FALSE))*(1-AM15),0)</f>
        <v>0</v>
      </c>
      <c r="AQ15" s="838">
        <f>IF(AL15="YES",HLOOKUP(E15,'2. AWARDS'!$F$7:$J$47,40,FALSE)/5*HLOOKUP(E15,'2. AWARDS'!$F$7:$J$37,31,FALSE)*L15/(HLOOKUP(E15,'2. AWARDS'!$F$7:$J$37,31,FALSE)*2)*M15*MAX(W15:AA15)*(1+HLOOKUP(E15,'2. AWARDS'!$F$7:$J$43,37,FALSE))*(1-AM15),0)</f>
        <v>0</v>
      </c>
      <c r="AR15" s="839">
        <f>(IF(AJ15="YES",HLOOKUP(E15,'2. AWARDS'!$F$7:$J$39,32,FALSE),0)+IF(AK15="YES",HLOOKUP(E15,'2. AWARDS'!$F$7:$J$39,33,FALSE),0)+IF(AL15="YES",HLOOKUP(E15,'2. AWARDS'!$F$7:$J$47,40,FALSE),0))*L15/76*7.6*AM15*AN15*M15</f>
        <v>0</v>
      </c>
      <c r="AS15" s="683"/>
      <c r="AT15" s="215">
        <f>'1. KEY DATA'!J$29</f>
        <v>0</v>
      </c>
      <c r="AU15" s="218">
        <f>'1. KEY DATA'!J$30</f>
        <v>0.09</v>
      </c>
      <c r="AV15" s="502"/>
      <c r="AW15" s="1104">
        <f t="shared" si="3"/>
        <v>0</v>
      </c>
      <c r="AX15" s="176"/>
      <c r="AY15" s="173"/>
      <c r="AZ15" s="452">
        <f t="shared" si="4"/>
        <v>0</v>
      </c>
      <c r="BA15" s="402">
        <f t="shared" si="5"/>
        <v>0</v>
      </c>
      <c r="BB15" s="406" t="str">
        <f t="shared" si="0"/>
        <v>-</v>
      </c>
      <c r="BC15" s="406" t="str">
        <f t="shared" si="0"/>
        <v>-</v>
      </c>
      <c r="BD15" s="406" t="str">
        <f t="shared" si="0"/>
        <v>-</v>
      </c>
      <c r="BE15" s="406" t="str">
        <f t="shared" si="0"/>
        <v>-</v>
      </c>
      <c r="BF15" s="406" t="str">
        <f t="shared" si="0"/>
        <v>-</v>
      </c>
      <c r="BG15" s="406" t="str">
        <f t="shared" si="0"/>
        <v>-</v>
      </c>
      <c r="BH15" s="406" t="str">
        <f t="shared" si="0"/>
        <v>-</v>
      </c>
      <c r="BI15" s="406" t="str">
        <f t="shared" si="0"/>
        <v>-</v>
      </c>
      <c r="BJ15" s="406" t="str">
        <f t="shared" si="0"/>
        <v>-</v>
      </c>
      <c r="BK15" s="406" t="str">
        <f t="shared" si="0"/>
        <v>-</v>
      </c>
      <c r="BL15" s="406" t="str">
        <f t="shared" si="0"/>
        <v>-</v>
      </c>
      <c r="BM15" s="406" t="str">
        <f t="shared" si="0"/>
        <v>-</v>
      </c>
      <c r="BN15" s="406" t="str">
        <f t="shared" si="0"/>
        <v>-</v>
      </c>
      <c r="BO15" s="407" t="str">
        <f t="shared" si="0"/>
        <v>-</v>
      </c>
      <c r="BP15" s="1539"/>
    </row>
    <row r="16" spans="1:69" s="9" customFormat="1" ht="15.75" thickBot="1">
      <c r="B16" s="1180"/>
      <c r="C16" s="80"/>
      <c r="D16" s="699">
        <f t="shared" si="1"/>
        <v>0</v>
      </c>
      <c r="E16" s="697"/>
      <c r="F16" s="900"/>
      <c r="G16" s="702"/>
      <c r="H16" s="693"/>
      <c r="I16" s="694"/>
      <c r="J16" s="1111"/>
      <c r="K16" s="1114"/>
      <c r="L16" s="763"/>
      <c r="M16" s="689"/>
      <c r="N16" s="628"/>
      <c r="O16" s="628"/>
      <c r="P16" s="638">
        <f t="shared" si="6"/>
        <v>0.03</v>
      </c>
      <c r="Q16" s="797"/>
      <c r="R16" s="673" t="str">
        <f t="shared" si="7"/>
        <v>-</v>
      </c>
      <c r="S16" s="649"/>
      <c r="T16" s="650">
        <v>0</v>
      </c>
      <c r="U16" s="827"/>
      <c r="V16" s="670"/>
      <c r="W16" s="798">
        <f t="shared" si="8"/>
        <v>0</v>
      </c>
      <c r="X16" s="656">
        <f>IF(OR(E16=0,F16=0),0,IF(E16='2. AWARDS'!F$7,VLOOKUP(F16,'2. AWARDS'!$C$9:$F$35,4,FALSE),IF(E16='2. AWARDS'!G$7,VLOOKUP(F16,'2. AWARDS'!$C$9:$G$35,5,FALSE),IF(E16='2. AWARDS'!H$7,VLOOKUP(F16,'2. AWARDS'!$C$9:$H$35,6,FALSE),IF(E16='2. AWARDS'!I$7,VLOOKUP(F16,'2. AWARDS'!$C$9:$I$35,7,FALSE),VLOOKUP(F16,'2. AWARDS'!$C$9:$J$35,8,FALSE))))))</f>
        <v>0</v>
      </c>
      <c r="Y16" s="657">
        <f>IF(OR(E16=0,F16=0),0,IF(AND(N16=0,E16='2. AWARDS'!F$7,VLOOKUP(F16,'2. AWARDS'!$C$9:$O$35,9,FALSE)&lt;&gt;0),"date missing",IF(AND(N16=0,E16='2. AWARDS'!G$7,VLOOKUP(F16,'2. AWARDS'!$C$9:$O$35,10,FALSE)&lt;&gt;0),"date missing",IF(AND(N16=0,E16='2. AWARDS'!H$7,VLOOKUP(F16,'2. AWARDS'!$C$9:$O$35,11,FALSE)&lt;&gt;0),"date missing",IF(AND(N16=0,E16='2. AWARDS'!I$7,VLOOKUP(F16,'2. AWARDS'!$C$9:$O$35,12,FALSE)&lt;&gt;0),"date missing",IF(AND(N16=0,E16='2. AWARDS'!J$7,VLOOKUP(F16,'2. AWARDS'!$C$9:$O$35,13,FALSE)&lt;&gt;0),"date missing",IF(N16=0,0,IF(OR(N16=MIN(O16,Q16),AND(N16&lt;O16,N16&lt;Q16,N16&gt;0)),IF(E16='2. AWARDS'!F$7,VLOOKUP(F16,'2. AWARDS'!$C$9:$O$35,9,FALSE),IF(E16='2. AWARDS'!G$7,VLOOKUP(F16,'2. AWARDS'!$C$9:$O$35,10,FALSE),IF(E16='2. AWARDS'!H$7,VLOOKUP(F16,'2. AWARDS'!$C$9:$O$35,11,FALSE),IF(E16='2. AWARDS'!I$7,VLOOKUP(F16,'2. AWARDS'!$C$9:$O$35,12,FALSE),IF(E16='2. AWARDS'!J$7,VLOOKUP(F16,'2. AWARDS'!$C$9:$O$35,13,FALSE)))))),IF(AND(N16&gt;O16,N16&lt;Q16),IF(E16='2. AWARDS'!F$7,(1+P16)*VLOOKUP(F16,'2. AWARDS'!$C$9:$O$35,9,FALSE),IF(E16='2. AWARDS'!G$7,(1+P16)*VLOOKUP(F16,'2. AWARDS'!$C$9:$O$35,10,FALSE),IF(E16='2. AWARDS'!H$7,(1+P16)*VLOOKUP(F16,'2. AWARDS'!$C$9:$O$35,11,FALSE),IF(E16='2. AWARDS'!I$7,(1+P16)*VLOOKUP(F16,'2. AWARDS'!$C$9:$O$35,12,FALSE),IF(E16='2. AWARDS'!J$7,(1+P16)*VLOOKUP(F16,'2. AWARDS'!$C$9:$O$35,13,FALSE)))))),IF(AND(N16&lt;O16,N16&gt;Q16),IF(E16='2. AWARDS'!F$7,(1+(R16/9))*VLOOKUP(F16,'2. AWARDS'!$C$9:$O$35,9,FALSE),IF(E16='2. AWARDS'!G$7,(1+(R16/9))*VLOOKUP(F16,'2. AWARDS'!$C$9:$O$35,10,FALSE),IF(E16='2. AWARDS'!H$7,(1+(R16/9))*VLOOKUP(F16,'2. AWARDS'!$C$9:$O$35,11,FALSE),IF(E16='2. AWARDS'!I$7,(1+(R16/9))*VLOOKUP(F16,'2. AWARDS'!$C$9:$O$35,12,FALSE),IF(E16='2. AWARDS'!J$7,(1+(R16/9))*VLOOKUP(F16,'2. AWARDS'!$C$9:$O$35,13,FALSE)))))),IF(OR(N16=MAX(O16,Q16),AND(N16&gt;O16,N16&gt;Q16)),IF(E16='2. AWARDS'!F$7,((1+(R16/9))*(1+P16))*VLOOKUP(F16,'2. AWARDS'!$C$9:$O$35,9,FALSE),IF(E16='2. AWARDS'!G$7,((1+(R16/9))*(1+P16))*VLOOKUP(F16,'2. AWARDS'!$C$9:$O$35,10,FALSE),IF(E16='2. AWARDS'!H$7,((1+(R16/9))*(1+P16))*VLOOKUP(F16,'2. AWARDS'!$C$9:$O$35,11,FALSE),IF(E16='2. AWARDS'!I$7,((1+(R16/9))*(1+P16))*VLOOKUP(F16,'2. AWARDS'!$C$9:$O$35,12,FALSE),IF(E16='2. AWARDS'!J$7,((1+(R16/9))*(1+P16))*VLOOKUP(F16,'2. AWARDS'!$C$9:$O$35,13,FALSE)))))),"?")))))))))))</f>
        <v>0</v>
      </c>
      <c r="Z16" s="656" t="e">
        <f>IF(AND(E16='2. AWARDS'!F$7,O16&gt;N16,O16&gt;Q16,VLOOKUP(F16,'2. AWARDS'!$C$9:$O$35,9,FALSE)&lt;&gt;0),VLOOKUP(F16,'2. AWARDS'!$C$9:$O$35,9,FALSE)*(1+P16)*(1+(R16/9)),IF(AND(E16='2. AWARDS'!F$7,O16&gt;N16,O16&gt;Q16,VLOOKUP(F16,'2. AWARDS'!$C$9:$O$35,9,FALSE)=0),X16*(1+P16)*(1+(R16/9)),IF(AND(E16='2. AWARDS'!G$7,O16&gt;N16,O16&gt;Q16,VLOOKUP(F16,'2. AWARDS'!$C$9:$O$35,10,FALSE)&lt;&gt;0),VLOOKUP(F16,'2. AWARDS'!$C$9:$O$35,10,FALSE)*(1+P16)*(1+(R16/9)),IF(AND(E16='2. AWARDS'!G$7,O16&gt;N16,O16&gt;Q16,VLOOKUP(F16,'2. AWARDS'!$C$9:$O$35,10,FALSE)=0),X16*(1+P16)*(1+(R16/9)),IF(AND(E16='2. AWARDS'!H$7,O16&gt;N16,O16&gt;Q16,VLOOKUP(F16,'2. AWARDS'!$C$9:$O$35,11,FALSE)&lt;&gt;0),VLOOKUP(F16,'2. AWARDS'!$C$9:$O$35,11,FALSE)*(1+P16)*(1+(R16/9)),IF(AND(E16='2. AWARDS'!H$7,O16&gt;N16,O16&gt;Q16,VLOOKUP(F16,'2. AWARDS'!$C$9:$O$35,11,FALSE)=0),X16*(1+P16)*(1+(R16/9)),IF(AND(E16='2. AWARDS'!I$7,O16&gt;N16,O16&gt;Q16,VLOOKUP(F16,'2. AWARDS'!$C$9:$O$35,12,FALSE)&lt;&gt;0),VLOOKUP(F16,'2. AWARDS'!$C$9:$O$35,12,FALSE)*(1+P16)*(1+(R16/9)),IF(AND(E16='2. AWARDS'!I$7,O16&gt;N16,O16&gt;Q16,VLOOKUP(F16,'2. AWARDS'!$C$9:$O$35,12,FALSE)=0),X16*(1+P16)*(1+(R16/9)),IF(AND(E16='2. AWARDS'!J$7,O16&gt;N16,O16&gt;Q16,VLOOKUP(F16,'2. AWARDS'!$C$9:$O$35,13,FALSE)&lt;&gt;0),VLOOKUP(F16,'2. AWARDS'!$C$9:$O$35,13,FALSE)*(1+P16)*(1+(R16/9)),IF(AND(E16='2. AWARDS'!J$7,O16&gt;N16,O16&gt;Q16,VLOOKUP(F16,'2. AWARDS'!$C$9:$O$35,13,FALSE)=0),X16*(1+P16)*(1+(R16/9)),IF(AND(O16&lt;N16,O16&gt;Q16),X16*(1+P16)*(1+(R16/9)),IF(AND(E16='2. AWARDS'!F$7,O16=MAX(N16,Q16),VLOOKUP(F16,'2. AWARDS'!$C$9:$O$35,9,FALSE)&lt;&gt;0),VLOOKUP(F16,'2. AWARDS'!$C$9:$O$35,9,FALSE)*(1+P16)*(1+(R16/9)),IF(AND(E16='2. AWARDS'!F$7,O16=MAX(N16,Q16),VLOOKUP(F16,'2. AWARDS'!$C$9:$O$35,9,FALSE)=0),X16*(1+P16)*(1+(R16/9)),IF(AND(E16='2. AWARDS'!G$7,O16=MAX(N16,Q16),VLOOKUP(F16,'2. AWARDS'!$C$9:$O$35,10,FALSE)&lt;&gt;0),VLOOKUP(F16,'2. AWARDS'!$C$9:$O$35,10,FALSE)*(1+P16)*(1+(R16/9)),IF(AND(E16='2. AWARDS'!G$7,O16=MAX(N16,Q16),VLOOKUP(F16,'2. AWARDS'!$C$9:$O$35,10,FALSE)=0),X16*(1+P16)*(1+(R16/9)),IF(AND(E16='2. AWARDS'!H$7,O16=MAX(N16,Q16),VLOOKUP(F16,'2. AWARDS'!$C$9:$O$35,11,FALSE)&lt;&gt;0),VLOOKUP(F16,'2. AWARDS'!$C$9:$O$35,11,FALSE)*(1+P16)*(1+(R16/9)),IF(AND(E16='2. AWARDS'!H$7,O16=MAX(N16,Q16),VLOOKUP(F16,'2. AWARDS'!$C$9:$O$35,11,FALSE)=0),X16*(1+P16)*(1+(R16/9)),IF(AND(E16='2. AWARDS'!I$7,O16=MAX(N16,Q16),VLOOKUP(F16,'2. AWARDS'!$C$9:$O$35,12,FALSE)&lt;&gt;0),VLOOKUP(F16,'2. AWARDS'!$C$9:$O$35,12,FALSE)*(1+P16)*(1+(R16/9)),IF(AND(E16='2. AWARDS'!I$7,O16=MAX(N16,Q16),VLOOKUP(F16,'2. AWARDS'!$C$9:$O$35,12,FALSE)=0),X16*(1+P16)*(1+(R16/9)),IF(AND(E16='2. AWARDS'!J$7,O16=MAX(N16,Q16),VLOOKUP(F16,'2. AWARDS'!$C$9:$O$35,13,FALSE)&lt;&gt;0),VLOOKUP(F16,'2. AWARDS'!$C$9:$O$35,13,FALSE)*(1+P16)*(1+(R16/9)),IF(AND(E16='2. AWARDS'!J$7,O16=MAX(N16,Q16),VLOOKUP(F16,'2. AWARDS'!$C$9:$O$35,13,FALSE)=0),X16*(1+P16)*(1+(R16/9)),IF(AND(O16&lt;N16,O16&lt;Q16),X16*(1+P16),IF(AND(O16=N16,N16&lt;Q16,E16='2. AWARDS'!F$7),VLOOKUP(F16,'2. AWARDS'!$C$9:$O$35,9,FALSE)*(1+P16),IF(AND(O16=N16,N16&lt;Q16,E16='2. AWARDS'!G$7),VLOOKUP(F16,'2. AWARDS'!$C$9:$O$35,10,FALSE)*(1+P16),IF(AND(O16=N16,N16&lt;Q16,E16='2. AWARDS'!H$7),VLOOKUP(F16,'2. AWARDS'!$C$9:$O$35,11,FALSE)*(1+P16),IF(AND(O16=N16,N16&lt;Q16,E16='2. AWARDS'!I$7),VLOOKUP(F16,'2. AWARDS'!$C$9:$O$35,12,FALSE)*(1+P16),IF(AND(O16=N16,N16&lt;Q16,E16='2. AWARDS'!J$7),VLOOKUP(F16,'2. AWARDS'!$C$9:$O$35,13,FALSE)*(1+P16),IF(AND(O16=Q16,N16&gt;Q16),X16*(1+P16)*(1+(R16/9)),IF(AND(E16='2. AWARDS'!F$7,O16&gt;N16,O16&lt;Q16,VLOOKUP(F16,'2. AWARDS'!$C$9:$O$35,9,FALSE)&lt;&gt;0),VLOOKUP(F16,'2. AWARDS'!$C$9:$O$35,9,FALSE)*(1+P16),IF(AND(E16='2. AWARDS'!G$7,O16&gt;N16,O16&lt;Q16,VLOOKUP(F16,'2. AWARDS'!$C$9:$O$35,10,FALSE)&lt;&gt;0),VLOOKUP(F16,'2. AWARDS'!$C$9:$O$35,10,FALSE)*(1+P16),IF(AND(E16='2. AWARDS'!H$7,O16&gt;N16,O16&lt;Q16,VLOOKUP(F16,'2. AWARDS'!$C$9:$O$35,11,FALSE)&lt;&gt;0),VLOOKUP(F16,'2. AWARDS'!$C$9:$O$35,11,FALSE)*(1+P16),IF(AND(E16='2. AWARDS'!I$7,O16&gt;N16,O16&lt;Q16,VLOOKUP(F16,'2. AWARDS'!$C$9:$O$35,12,FALSE)&lt;&gt;0),VLOOKUP(F16,'2. AWARDS'!$C$9:$O$35,12,FALSE)*(1+P16),IF(AND(E16='2. AWARDS'!J$7,O16&gt;N16,O16&lt;Q16,VLOOKUP(F16,'2. AWARDS'!$C$9:$O$35,13,FALSE)&lt;&gt;0),VLOOKUP(F16,'2. AWARDS'!$C$9:$O$35,13,FALSE)*(1+P16),X16*(1+P16))))))))))))))))))))))))))))))))))</f>
        <v>#N/A</v>
      </c>
      <c r="AA16" s="661" t="e">
        <f t="shared" si="2"/>
        <v>#N/A</v>
      </c>
      <c r="AB16" s="683"/>
      <c r="AC16" s="774"/>
      <c r="AD16" s="774"/>
      <c r="AE16" s="774"/>
      <c r="AF16" s="781">
        <f t="shared" ref="AF16:AF43" si="9">IF(J16="YES",L16*M16*K16*MAX(W16:AA16),0)</f>
        <v>0</v>
      </c>
      <c r="AG16" s="781" t="e">
        <f>HLOOKUP(E16,'2. AWARDS'!$F$7:$J$40,32,FALSE)/5*HLOOKUP(E16,'2. AWARDS'!$F$7:$J$40,31,FALSE)*MAX(W16:AA16)*M16*HLOOKUP(E16,'2. AWARDS'!$F$7:$J$40,34,FALSE)*L16/(38*2)</f>
        <v>#N/A</v>
      </c>
      <c r="AH16" s="783" t="e">
        <f>((HLOOKUP(E16,'2. AWARDS'!$F$7:$J$42,36,FALSE)/HLOOKUP(E16,'2. AWARDS'!$F$7:$J$42,35,FALSE)*HLOOKUP(E16,'2. AWARDS'!$F$7:$J$45,39,FALSE))/(HLOOKUP(E16,'2. AWARDS'!$F$7:$J$45,31,FALSE)*2)*L16*M16*HLOOKUP(E16,'2. AWARDS'!$F$7:$J$45,31,FALSE)*MAX(W16:AA16))</f>
        <v>#N/A</v>
      </c>
      <c r="AI16" s="474"/>
      <c r="AJ16" s="800"/>
      <c r="AK16" s="800"/>
      <c r="AL16" s="801"/>
      <c r="AM16" s="802"/>
      <c r="AN16" s="805"/>
      <c r="AO16" s="836">
        <f>IF(AJ16="YES",HLOOKUP(E16,'2. AWARDS'!$F$7:$J$38,32,FALSE)/5*HLOOKUP(E16,'2. AWARDS'!$F$7:$J$37,31,FALSE)*L16/(HLOOKUP(E16,'2. AWARDS'!$F$7:$J$37,31,FALSE)*2)*M16*MAX(W16:AA16)*(1+HLOOKUP(E16,'2. AWARDS'!$F$7:$J$43,37,FALSE))*(1-AM16),0)</f>
        <v>0</v>
      </c>
      <c r="AP16" s="836">
        <f>IF(AK16="YES",HLOOKUP(E16,'2. AWARDS'!$F$7:$J$39,33,FALSE)/5*HLOOKUP(E16,'2. AWARDS'!$F$7:$J$37,31,FALSE)*L16/(HLOOKUP(E16,'2. AWARDS'!$F$7:$J$37,31,FALSE)*2)*M16*MAX(W16:AA16)*(1+HLOOKUP(E16,'2. AWARDS'!$F$7:$J$43,37,FALSE))*(1-AM16),0)</f>
        <v>0</v>
      </c>
      <c r="AQ16" s="838">
        <f>IF(AL16="YES",HLOOKUP(E16,'2. AWARDS'!$F$7:$J$47,40,FALSE)/5*HLOOKUP(E16,'2. AWARDS'!$F$7:$J$37,31,FALSE)*L16/(HLOOKUP(E16,'2. AWARDS'!$F$7:$J$37,31,FALSE)*2)*M16*MAX(W16:AA16)*(1+HLOOKUP(E16,'2. AWARDS'!$F$7:$J$43,37,FALSE))*(1-AM16),0)</f>
        <v>0</v>
      </c>
      <c r="AR16" s="839">
        <f>(IF(AJ16="YES",HLOOKUP(E16,'2. AWARDS'!$F$7:$J$39,32,FALSE),0)+IF(AK16="YES",HLOOKUP(E16,'2. AWARDS'!$F$7:$J$39,33,FALSE),0)+IF(AL16="YES",HLOOKUP(E16,'2. AWARDS'!$F$7:$J$47,40,FALSE),0))*L16/76*7.6*AM16*AN16*M16</f>
        <v>0</v>
      </c>
      <c r="AS16" s="683"/>
      <c r="AT16" s="215">
        <f>'1. KEY DATA'!J$29</f>
        <v>0</v>
      </c>
      <c r="AU16" s="218">
        <f>'1. KEY DATA'!J$30</f>
        <v>0.09</v>
      </c>
      <c r="AV16" s="502"/>
      <c r="AW16" s="1104">
        <f t="shared" si="3"/>
        <v>0</v>
      </c>
      <c r="AX16" s="176"/>
      <c r="AY16" s="173"/>
      <c r="AZ16" s="452">
        <f t="shared" si="4"/>
        <v>0</v>
      </c>
      <c r="BA16" s="402">
        <f t="shared" si="5"/>
        <v>0</v>
      </c>
      <c r="BB16" s="406" t="str">
        <f t="shared" si="0"/>
        <v>-</v>
      </c>
      <c r="BC16" s="406" t="str">
        <f t="shared" si="0"/>
        <v>-</v>
      </c>
      <c r="BD16" s="406" t="str">
        <f t="shared" si="0"/>
        <v>-</v>
      </c>
      <c r="BE16" s="406" t="str">
        <f t="shared" si="0"/>
        <v>-</v>
      </c>
      <c r="BF16" s="406" t="str">
        <f t="shared" si="0"/>
        <v>-</v>
      </c>
      <c r="BG16" s="406" t="str">
        <f t="shared" si="0"/>
        <v>-</v>
      </c>
      <c r="BH16" s="406" t="str">
        <f t="shared" si="0"/>
        <v>-</v>
      </c>
      <c r="BI16" s="406" t="str">
        <f t="shared" si="0"/>
        <v>-</v>
      </c>
      <c r="BJ16" s="406" t="str">
        <f t="shared" si="0"/>
        <v>-</v>
      </c>
      <c r="BK16" s="406" t="str">
        <f t="shared" si="0"/>
        <v>-</v>
      </c>
      <c r="BL16" s="406" t="str">
        <f t="shared" si="0"/>
        <v>-</v>
      </c>
      <c r="BM16" s="406" t="str">
        <f t="shared" si="0"/>
        <v>-</v>
      </c>
      <c r="BN16" s="406" t="str">
        <f t="shared" si="0"/>
        <v>-</v>
      </c>
      <c r="BO16" s="407" t="str">
        <f t="shared" si="0"/>
        <v>-</v>
      </c>
      <c r="BP16" s="1539"/>
    </row>
    <row r="17" spans="2:68" s="9" customFormat="1" ht="15.75" thickBot="1">
      <c r="B17" s="1180"/>
      <c r="C17" s="80"/>
      <c r="D17" s="699">
        <f t="shared" si="1"/>
        <v>0</v>
      </c>
      <c r="E17" s="697"/>
      <c r="F17" s="900"/>
      <c r="G17" s="702"/>
      <c r="H17" s="693"/>
      <c r="I17" s="694"/>
      <c r="J17" s="1111"/>
      <c r="K17" s="1114"/>
      <c r="L17" s="763"/>
      <c r="M17" s="689"/>
      <c r="N17" s="628"/>
      <c r="O17" s="628"/>
      <c r="P17" s="638">
        <f t="shared" si="6"/>
        <v>0.03</v>
      </c>
      <c r="Q17" s="797"/>
      <c r="R17" s="673" t="str">
        <f t="shared" si="7"/>
        <v>-</v>
      </c>
      <c r="S17" s="649"/>
      <c r="T17" s="650">
        <v>0</v>
      </c>
      <c r="U17" s="827"/>
      <c r="V17" s="670"/>
      <c r="W17" s="798">
        <f t="shared" si="8"/>
        <v>0</v>
      </c>
      <c r="X17" s="656">
        <f>IF(OR(E17=0,F17=0),0,IF(E17='2. AWARDS'!F$7,VLOOKUP(F17,'2. AWARDS'!$C$9:$F$35,4,FALSE),IF(E17='2. AWARDS'!G$7,VLOOKUP(F17,'2. AWARDS'!$C$9:$G$35,5,FALSE),IF(E17='2. AWARDS'!H$7,VLOOKUP(F17,'2. AWARDS'!$C$9:$H$35,6,FALSE),IF(E17='2. AWARDS'!I$7,VLOOKUP(F17,'2. AWARDS'!$C$9:$I$35,7,FALSE),VLOOKUP(F17,'2. AWARDS'!$C$9:$J$35,8,FALSE))))))</f>
        <v>0</v>
      </c>
      <c r="Y17" s="657">
        <f>IF(OR(E17=0,F17=0),0,IF(AND(N17=0,E17='2. AWARDS'!F$7,VLOOKUP(F17,'2. AWARDS'!$C$9:$O$35,9,FALSE)&lt;&gt;0),"date missing",IF(AND(N17=0,E17='2. AWARDS'!G$7,VLOOKUP(F17,'2. AWARDS'!$C$9:$O$35,10,FALSE)&lt;&gt;0),"date missing",IF(AND(N17=0,E17='2. AWARDS'!H$7,VLOOKUP(F17,'2. AWARDS'!$C$9:$O$35,11,FALSE)&lt;&gt;0),"date missing",IF(AND(N17=0,E17='2. AWARDS'!I$7,VLOOKUP(F17,'2. AWARDS'!$C$9:$O$35,12,FALSE)&lt;&gt;0),"date missing",IF(AND(N17=0,E17='2. AWARDS'!J$7,VLOOKUP(F17,'2. AWARDS'!$C$9:$O$35,13,FALSE)&lt;&gt;0),"date missing",IF(N17=0,0,IF(OR(N17=MIN(O17,Q17),AND(N17&lt;O17,N17&lt;Q17,N17&gt;0)),IF(E17='2. AWARDS'!F$7,VLOOKUP(F17,'2. AWARDS'!$C$9:$O$35,9,FALSE),IF(E17='2. AWARDS'!G$7,VLOOKUP(F17,'2. AWARDS'!$C$9:$O$35,10,FALSE),IF(E17='2. AWARDS'!H$7,VLOOKUP(F17,'2. AWARDS'!$C$9:$O$35,11,FALSE),IF(E17='2. AWARDS'!I$7,VLOOKUP(F17,'2. AWARDS'!$C$9:$O$35,12,FALSE),IF(E17='2. AWARDS'!J$7,VLOOKUP(F17,'2. AWARDS'!$C$9:$O$35,13,FALSE)))))),IF(AND(N17&gt;O17,N17&lt;Q17),IF(E17='2. AWARDS'!F$7,(1+P17)*VLOOKUP(F17,'2. AWARDS'!$C$9:$O$35,9,FALSE),IF(E17='2. AWARDS'!G$7,(1+P17)*VLOOKUP(F17,'2. AWARDS'!$C$9:$O$35,10,FALSE),IF(E17='2. AWARDS'!H$7,(1+P17)*VLOOKUP(F17,'2. AWARDS'!$C$9:$O$35,11,FALSE),IF(E17='2. AWARDS'!I$7,(1+P17)*VLOOKUP(F17,'2. AWARDS'!$C$9:$O$35,12,FALSE),IF(E17='2. AWARDS'!J$7,(1+P17)*VLOOKUP(F17,'2. AWARDS'!$C$9:$O$35,13,FALSE)))))),IF(AND(N17&lt;O17,N17&gt;Q17),IF(E17='2. AWARDS'!F$7,(1+(R17/9))*VLOOKUP(F17,'2. AWARDS'!$C$9:$O$35,9,FALSE),IF(E17='2. AWARDS'!G$7,(1+(R17/9))*VLOOKUP(F17,'2. AWARDS'!$C$9:$O$35,10,FALSE),IF(E17='2. AWARDS'!H$7,(1+(R17/9))*VLOOKUP(F17,'2. AWARDS'!$C$9:$O$35,11,FALSE),IF(E17='2. AWARDS'!I$7,(1+(R17/9))*VLOOKUP(F17,'2. AWARDS'!$C$9:$O$35,12,FALSE),IF(E17='2. AWARDS'!J$7,(1+(R17/9))*VLOOKUP(F17,'2. AWARDS'!$C$9:$O$35,13,FALSE)))))),IF(OR(N17=MAX(O17,Q17),AND(N17&gt;O17,N17&gt;Q17)),IF(E17='2. AWARDS'!F$7,((1+(R17/9))*(1+P17))*VLOOKUP(F17,'2. AWARDS'!$C$9:$O$35,9,FALSE),IF(E17='2. AWARDS'!G$7,((1+(R17/9))*(1+P17))*VLOOKUP(F17,'2. AWARDS'!$C$9:$O$35,10,FALSE),IF(E17='2. AWARDS'!H$7,((1+(R17/9))*(1+P17))*VLOOKUP(F17,'2. AWARDS'!$C$9:$O$35,11,FALSE),IF(E17='2. AWARDS'!I$7,((1+(R17/9))*(1+P17))*VLOOKUP(F17,'2. AWARDS'!$C$9:$O$35,12,FALSE),IF(E17='2. AWARDS'!J$7,((1+(R17/9))*(1+P17))*VLOOKUP(F17,'2. AWARDS'!$C$9:$O$35,13,FALSE)))))),"?")))))))))))</f>
        <v>0</v>
      </c>
      <c r="Z17" s="656" t="e">
        <f>IF(AND(E17='2. AWARDS'!F$7,O17&gt;N17,O17&gt;Q17,VLOOKUP(F17,'2. AWARDS'!$C$9:$O$35,9,FALSE)&lt;&gt;0),VLOOKUP(F17,'2. AWARDS'!$C$9:$O$35,9,FALSE)*(1+P17)*(1+(R17/9)),IF(AND(E17='2. AWARDS'!F$7,O17&gt;N17,O17&gt;Q17,VLOOKUP(F17,'2. AWARDS'!$C$9:$O$35,9,FALSE)=0),X17*(1+P17)*(1+(R17/9)),IF(AND(E17='2. AWARDS'!G$7,O17&gt;N17,O17&gt;Q17,VLOOKUP(F17,'2. AWARDS'!$C$9:$O$35,10,FALSE)&lt;&gt;0),VLOOKUP(F17,'2. AWARDS'!$C$9:$O$35,10,FALSE)*(1+P17)*(1+(R17/9)),IF(AND(E17='2. AWARDS'!G$7,O17&gt;N17,O17&gt;Q17,VLOOKUP(F17,'2. AWARDS'!$C$9:$O$35,10,FALSE)=0),X17*(1+P17)*(1+(R17/9)),IF(AND(E17='2. AWARDS'!H$7,O17&gt;N17,O17&gt;Q17,VLOOKUP(F17,'2. AWARDS'!$C$9:$O$35,11,FALSE)&lt;&gt;0),VLOOKUP(F17,'2. AWARDS'!$C$9:$O$35,11,FALSE)*(1+P17)*(1+(R17/9)),IF(AND(E17='2. AWARDS'!H$7,O17&gt;N17,O17&gt;Q17,VLOOKUP(F17,'2. AWARDS'!$C$9:$O$35,11,FALSE)=0),X17*(1+P17)*(1+(R17/9)),IF(AND(E17='2. AWARDS'!I$7,O17&gt;N17,O17&gt;Q17,VLOOKUP(F17,'2. AWARDS'!$C$9:$O$35,12,FALSE)&lt;&gt;0),VLOOKUP(F17,'2. AWARDS'!$C$9:$O$35,12,FALSE)*(1+P17)*(1+(R17/9)),IF(AND(E17='2. AWARDS'!I$7,O17&gt;N17,O17&gt;Q17,VLOOKUP(F17,'2. AWARDS'!$C$9:$O$35,12,FALSE)=0),X17*(1+P17)*(1+(R17/9)),IF(AND(E17='2. AWARDS'!J$7,O17&gt;N17,O17&gt;Q17,VLOOKUP(F17,'2. AWARDS'!$C$9:$O$35,13,FALSE)&lt;&gt;0),VLOOKUP(F17,'2. AWARDS'!$C$9:$O$35,13,FALSE)*(1+P17)*(1+(R17/9)),IF(AND(E17='2. AWARDS'!J$7,O17&gt;N17,O17&gt;Q17,VLOOKUP(F17,'2. AWARDS'!$C$9:$O$35,13,FALSE)=0),X17*(1+P17)*(1+(R17/9)),IF(AND(O17&lt;N17,O17&gt;Q17),X17*(1+P17)*(1+(R17/9)),IF(AND(E17='2. AWARDS'!F$7,O17=MAX(N17,Q17),VLOOKUP(F17,'2. AWARDS'!$C$9:$O$35,9,FALSE)&lt;&gt;0),VLOOKUP(F17,'2. AWARDS'!$C$9:$O$35,9,FALSE)*(1+P17)*(1+(R17/9)),IF(AND(E17='2. AWARDS'!F$7,O17=MAX(N17,Q17),VLOOKUP(F17,'2. AWARDS'!$C$9:$O$35,9,FALSE)=0),X17*(1+P17)*(1+(R17/9)),IF(AND(E17='2. AWARDS'!G$7,O17=MAX(N17,Q17),VLOOKUP(F17,'2. AWARDS'!$C$9:$O$35,10,FALSE)&lt;&gt;0),VLOOKUP(F17,'2. AWARDS'!$C$9:$O$35,10,FALSE)*(1+P17)*(1+(R17/9)),IF(AND(E17='2. AWARDS'!G$7,O17=MAX(N17,Q17),VLOOKUP(F17,'2. AWARDS'!$C$9:$O$35,10,FALSE)=0),X17*(1+P17)*(1+(R17/9)),IF(AND(E17='2. AWARDS'!H$7,O17=MAX(N17,Q17),VLOOKUP(F17,'2. AWARDS'!$C$9:$O$35,11,FALSE)&lt;&gt;0),VLOOKUP(F17,'2. AWARDS'!$C$9:$O$35,11,FALSE)*(1+P17)*(1+(R17/9)),IF(AND(E17='2. AWARDS'!H$7,O17=MAX(N17,Q17),VLOOKUP(F17,'2. AWARDS'!$C$9:$O$35,11,FALSE)=0),X17*(1+P17)*(1+(R17/9)),IF(AND(E17='2. AWARDS'!I$7,O17=MAX(N17,Q17),VLOOKUP(F17,'2. AWARDS'!$C$9:$O$35,12,FALSE)&lt;&gt;0),VLOOKUP(F17,'2. AWARDS'!$C$9:$O$35,12,FALSE)*(1+P17)*(1+(R17/9)),IF(AND(E17='2. AWARDS'!I$7,O17=MAX(N17,Q17),VLOOKUP(F17,'2. AWARDS'!$C$9:$O$35,12,FALSE)=0),X17*(1+P17)*(1+(R17/9)),IF(AND(E17='2. AWARDS'!J$7,O17=MAX(N17,Q17),VLOOKUP(F17,'2. AWARDS'!$C$9:$O$35,13,FALSE)&lt;&gt;0),VLOOKUP(F17,'2. AWARDS'!$C$9:$O$35,13,FALSE)*(1+P17)*(1+(R17/9)),IF(AND(E17='2. AWARDS'!J$7,O17=MAX(N17,Q17),VLOOKUP(F17,'2. AWARDS'!$C$9:$O$35,13,FALSE)=0),X17*(1+P17)*(1+(R17/9)),IF(AND(O17&lt;N17,O17&lt;Q17),X17*(1+P17),IF(AND(O17=N17,N17&lt;Q17,E17='2. AWARDS'!F$7),VLOOKUP(F17,'2. AWARDS'!$C$9:$O$35,9,FALSE)*(1+P17),IF(AND(O17=N17,N17&lt;Q17,E17='2. AWARDS'!G$7),VLOOKUP(F17,'2. AWARDS'!$C$9:$O$35,10,FALSE)*(1+P17),IF(AND(O17=N17,N17&lt;Q17,E17='2. AWARDS'!H$7),VLOOKUP(F17,'2. AWARDS'!$C$9:$O$35,11,FALSE)*(1+P17),IF(AND(O17=N17,N17&lt;Q17,E17='2. AWARDS'!I$7),VLOOKUP(F17,'2. AWARDS'!$C$9:$O$35,12,FALSE)*(1+P17),IF(AND(O17=N17,N17&lt;Q17,E17='2. AWARDS'!J$7),VLOOKUP(F17,'2. AWARDS'!$C$9:$O$35,13,FALSE)*(1+P17),IF(AND(O17=Q17,N17&gt;Q17),X17*(1+P17)*(1+(R17/9)),IF(AND(E17='2. AWARDS'!F$7,O17&gt;N17,O17&lt;Q17,VLOOKUP(F17,'2. AWARDS'!$C$9:$O$35,9,FALSE)&lt;&gt;0),VLOOKUP(F17,'2. AWARDS'!$C$9:$O$35,9,FALSE)*(1+P17),IF(AND(E17='2. AWARDS'!G$7,O17&gt;N17,O17&lt;Q17,VLOOKUP(F17,'2. AWARDS'!$C$9:$O$35,10,FALSE)&lt;&gt;0),VLOOKUP(F17,'2. AWARDS'!$C$9:$O$35,10,FALSE)*(1+P17),IF(AND(E17='2. AWARDS'!H$7,O17&gt;N17,O17&lt;Q17,VLOOKUP(F17,'2. AWARDS'!$C$9:$O$35,11,FALSE)&lt;&gt;0),VLOOKUP(F17,'2. AWARDS'!$C$9:$O$35,11,FALSE)*(1+P17),IF(AND(E17='2. AWARDS'!I$7,O17&gt;N17,O17&lt;Q17,VLOOKUP(F17,'2. AWARDS'!$C$9:$O$35,12,FALSE)&lt;&gt;0),VLOOKUP(F17,'2. AWARDS'!$C$9:$O$35,12,FALSE)*(1+P17),IF(AND(E17='2. AWARDS'!J$7,O17&gt;N17,O17&lt;Q17,VLOOKUP(F17,'2. AWARDS'!$C$9:$O$35,13,FALSE)&lt;&gt;0),VLOOKUP(F17,'2. AWARDS'!$C$9:$O$35,13,FALSE)*(1+P17),X17*(1+P17))))))))))))))))))))))))))))))))))</f>
        <v>#N/A</v>
      </c>
      <c r="AA17" s="661" t="e">
        <f t="shared" si="2"/>
        <v>#N/A</v>
      </c>
      <c r="AB17" s="683"/>
      <c r="AC17" s="774"/>
      <c r="AD17" s="774"/>
      <c r="AE17" s="774"/>
      <c r="AF17" s="781">
        <f t="shared" si="9"/>
        <v>0</v>
      </c>
      <c r="AG17" s="781" t="e">
        <f>HLOOKUP(E17,'2. AWARDS'!$F$7:$J$40,32,FALSE)/5*HLOOKUP(E17,'2. AWARDS'!$F$7:$J$40,31,FALSE)*MAX(W17:AA17)*M17*HLOOKUP(E17,'2. AWARDS'!$F$7:$J$40,34,FALSE)*L17/(38*2)</f>
        <v>#N/A</v>
      </c>
      <c r="AH17" s="783" t="e">
        <f>((HLOOKUP(E17,'2. AWARDS'!$F$7:$J$42,36,FALSE)/HLOOKUP(E17,'2. AWARDS'!$F$7:$J$42,35,FALSE)*HLOOKUP(E17,'2. AWARDS'!$F$7:$J$45,39,FALSE))/(HLOOKUP(E17,'2. AWARDS'!$F$7:$J$45,31,FALSE)*2)*L17*M17*HLOOKUP(E17,'2. AWARDS'!$F$7:$J$45,31,FALSE)*MAX(W17:AA17))</f>
        <v>#N/A</v>
      </c>
      <c r="AI17" s="474"/>
      <c r="AJ17" s="800"/>
      <c r="AK17" s="800"/>
      <c r="AL17" s="801"/>
      <c r="AM17" s="802"/>
      <c r="AN17" s="805"/>
      <c r="AO17" s="836">
        <f>IF(AJ17="YES",HLOOKUP(E17,'2. AWARDS'!$F$7:$J$38,32,FALSE)/5*HLOOKUP(E17,'2. AWARDS'!$F$7:$J$37,31,FALSE)*L17/(HLOOKUP(E17,'2. AWARDS'!$F$7:$J$37,31,FALSE)*2)*M17*MAX(W17:AA17)*(1+HLOOKUP(E17,'2. AWARDS'!$F$7:$J$43,37,FALSE))*(1-AM17),0)</f>
        <v>0</v>
      </c>
      <c r="AP17" s="836">
        <f>IF(AK17="YES",HLOOKUP(E17,'2. AWARDS'!$F$7:$J$39,33,FALSE)/5*HLOOKUP(E17,'2. AWARDS'!$F$7:$J$37,31,FALSE)*L17/(HLOOKUP(E17,'2. AWARDS'!$F$7:$J$37,31,FALSE)*2)*M17*MAX(W17:AA17)*(1+HLOOKUP(E17,'2. AWARDS'!$F$7:$J$43,37,FALSE))*(1-AM17),0)</f>
        <v>0</v>
      </c>
      <c r="AQ17" s="838">
        <f>IF(AL17="YES",HLOOKUP(E17,'2. AWARDS'!$F$7:$J$47,40,FALSE)/5*HLOOKUP(E17,'2. AWARDS'!$F$7:$J$37,31,FALSE)*L17/(HLOOKUP(E17,'2. AWARDS'!$F$7:$J$37,31,FALSE)*2)*M17*MAX(W17:AA17)*(1+HLOOKUP(E17,'2. AWARDS'!$F$7:$J$43,37,FALSE))*(1-AM17),0)</f>
        <v>0</v>
      </c>
      <c r="AR17" s="839">
        <f>(IF(AJ17="YES",HLOOKUP(E17,'2. AWARDS'!$F$7:$J$39,32,FALSE),0)+IF(AK17="YES",HLOOKUP(E17,'2. AWARDS'!$F$7:$J$39,33,FALSE),0)+IF(AL17="YES",HLOOKUP(E17,'2. AWARDS'!$F$7:$J$47,40,FALSE),0))*L17/76*7.6*AM17*AN17*M17</f>
        <v>0</v>
      </c>
      <c r="AS17" s="683"/>
      <c r="AT17" s="215">
        <f>'1. KEY DATA'!J$29</f>
        <v>0</v>
      </c>
      <c r="AU17" s="218">
        <f>'1. KEY DATA'!J$30</f>
        <v>0.09</v>
      </c>
      <c r="AV17" s="502"/>
      <c r="AW17" s="1104">
        <f t="shared" si="3"/>
        <v>0</v>
      </c>
      <c r="AX17" s="176"/>
      <c r="AY17" s="173"/>
      <c r="AZ17" s="452">
        <f t="shared" si="4"/>
        <v>0</v>
      </c>
      <c r="BA17" s="402">
        <f t="shared" si="5"/>
        <v>0</v>
      </c>
      <c r="BB17" s="406" t="str">
        <f t="shared" si="0"/>
        <v>-</v>
      </c>
      <c r="BC17" s="406" t="str">
        <f t="shared" si="0"/>
        <v>-</v>
      </c>
      <c r="BD17" s="406" t="str">
        <f t="shared" si="0"/>
        <v>-</v>
      </c>
      <c r="BE17" s="406" t="str">
        <f t="shared" si="0"/>
        <v>-</v>
      </c>
      <c r="BF17" s="406" t="str">
        <f t="shared" si="0"/>
        <v>-</v>
      </c>
      <c r="BG17" s="406" t="str">
        <f t="shared" si="0"/>
        <v>-</v>
      </c>
      <c r="BH17" s="406" t="str">
        <f t="shared" si="0"/>
        <v>-</v>
      </c>
      <c r="BI17" s="406" t="str">
        <f t="shared" si="0"/>
        <v>-</v>
      </c>
      <c r="BJ17" s="406" t="str">
        <f t="shared" si="0"/>
        <v>-</v>
      </c>
      <c r="BK17" s="406" t="str">
        <f t="shared" si="0"/>
        <v>-</v>
      </c>
      <c r="BL17" s="406" t="str">
        <f t="shared" si="0"/>
        <v>-</v>
      </c>
      <c r="BM17" s="406" t="str">
        <f t="shared" si="0"/>
        <v>-</v>
      </c>
      <c r="BN17" s="406" t="str">
        <f t="shared" si="0"/>
        <v>-</v>
      </c>
      <c r="BO17" s="407" t="str">
        <f t="shared" si="0"/>
        <v>-</v>
      </c>
      <c r="BP17" s="1539"/>
    </row>
    <row r="18" spans="2:68" s="9" customFormat="1" ht="15.75" thickBot="1">
      <c r="B18" s="1180"/>
      <c r="C18" s="80"/>
      <c r="D18" s="699">
        <f t="shared" si="1"/>
        <v>0</v>
      </c>
      <c r="E18" s="697"/>
      <c r="F18" s="900"/>
      <c r="G18" s="702"/>
      <c r="H18" s="693"/>
      <c r="I18" s="694"/>
      <c r="J18" s="1111"/>
      <c r="K18" s="1114"/>
      <c r="L18" s="763"/>
      <c r="M18" s="689"/>
      <c r="N18" s="628"/>
      <c r="O18" s="628"/>
      <c r="P18" s="638">
        <f t="shared" si="6"/>
        <v>0.03</v>
      </c>
      <c r="Q18" s="797"/>
      <c r="R18" s="673" t="str">
        <f t="shared" si="7"/>
        <v>-</v>
      </c>
      <c r="S18" s="649"/>
      <c r="T18" s="650">
        <v>0</v>
      </c>
      <c r="U18" s="827"/>
      <c r="V18" s="670"/>
      <c r="W18" s="798">
        <f t="shared" si="8"/>
        <v>0</v>
      </c>
      <c r="X18" s="656">
        <f>IF(OR(E18=0,F18=0),0,IF(E18='2. AWARDS'!F$7,VLOOKUP(F18,'2. AWARDS'!$C$9:$F$35,4,FALSE),IF(E18='2. AWARDS'!G$7,VLOOKUP(F18,'2. AWARDS'!$C$9:$G$35,5,FALSE),IF(E18='2. AWARDS'!H$7,VLOOKUP(F18,'2. AWARDS'!$C$9:$H$35,6,FALSE),IF(E18='2. AWARDS'!I$7,VLOOKUP(F18,'2. AWARDS'!$C$9:$I$35,7,FALSE),VLOOKUP(F18,'2. AWARDS'!$C$9:$J$35,8,FALSE))))))</f>
        <v>0</v>
      </c>
      <c r="Y18" s="657">
        <f>IF(OR(E18=0,F18=0),0,IF(AND(N18=0,E18='2. AWARDS'!F$7,VLOOKUP(F18,'2. AWARDS'!$C$9:$O$35,9,FALSE)&lt;&gt;0),"date missing",IF(AND(N18=0,E18='2. AWARDS'!G$7,VLOOKUP(F18,'2. AWARDS'!$C$9:$O$35,10,FALSE)&lt;&gt;0),"date missing",IF(AND(N18=0,E18='2. AWARDS'!H$7,VLOOKUP(F18,'2. AWARDS'!$C$9:$O$35,11,FALSE)&lt;&gt;0),"date missing",IF(AND(N18=0,E18='2. AWARDS'!I$7,VLOOKUP(F18,'2. AWARDS'!$C$9:$O$35,12,FALSE)&lt;&gt;0),"date missing",IF(AND(N18=0,E18='2. AWARDS'!J$7,VLOOKUP(F18,'2. AWARDS'!$C$9:$O$35,13,FALSE)&lt;&gt;0),"date missing",IF(N18=0,0,IF(OR(N18=MIN(O18,Q18),AND(N18&lt;O18,N18&lt;Q18,N18&gt;0)),IF(E18='2. AWARDS'!F$7,VLOOKUP(F18,'2. AWARDS'!$C$9:$O$35,9,FALSE),IF(E18='2. AWARDS'!G$7,VLOOKUP(F18,'2. AWARDS'!$C$9:$O$35,10,FALSE),IF(E18='2. AWARDS'!H$7,VLOOKUP(F18,'2. AWARDS'!$C$9:$O$35,11,FALSE),IF(E18='2. AWARDS'!I$7,VLOOKUP(F18,'2. AWARDS'!$C$9:$O$35,12,FALSE),IF(E18='2. AWARDS'!J$7,VLOOKUP(F18,'2. AWARDS'!$C$9:$O$35,13,FALSE)))))),IF(AND(N18&gt;O18,N18&lt;Q18),IF(E18='2. AWARDS'!F$7,(1+P18)*VLOOKUP(F18,'2. AWARDS'!$C$9:$O$35,9,FALSE),IF(E18='2. AWARDS'!G$7,(1+P18)*VLOOKUP(F18,'2. AWARDS'!$C$9:$O$35,10,FALSE),IF(E18='2. AWARDS'!H$7,(1+P18)*VLOOKUP(F18,'2. AWARDS'!$C$9:$O$35,11,FALSE),IF(E18='2. AWARDS'!I$7,(1+P18)*VLOOKUP(F18,'2. AWARDS'!$C$9:$O$35,12,FALSE),IF(E18='2. AWARDS'!J$7,(1+P18)*VLOOKUP(F18,'2. AWARDS'!$C$9:$O$35,13,FALSE)))))),IF(AND(N18&lt;O18,N18&gt;Q18),IF(E18='2. AWARDS'!F$7,(1+(R18/9))*VLOOKUP(F18,'2. AWARDS'!$C$9:$O$35,9,FALSE),IF(E18='2. AWARDS'!G$7,(1+(R18/9))*VLOOKUP(F18,'2. AWARDS'!$C$9:$O$35,10,FALSE),IF(E18='2. AWARDS'!H$7,(1+(R18/9))*VLOOKUP(F18,'2. AWARDS'!$C$9:$O$35,11,FALSE),IF(E18='2. AWARDS'!I$7,(1+(R18/9))*VLOOKUP(F18,'2. AWARDS'!$C$9:$O$35,12,FALSE),IF(E18='2. AWARDS'!J$7,(1+(R18/9))*VLOOKUP(F18,'2. AWARDS'!$C$9:$O$35,13,FALSE)))))),IF(OR(N18=MAX(O18,Q18),AND(N18&gt;O18,N18&gt;Q18)),IF(E18='2. AWARDS'!F$7,((1+(R18/9))*(1+P18))*VLOOKUP(F18,'2. AWARDS'!$C$9:$O$35,9,FALSE),IF(E18='2. AWARDS'!G$7,((1+(R18/9))*(1+P18))*VLOOKUP(F18,'2. AWARDS'!$C$9:$O$35,10,FALSE),IF(E18='2. AWARDS'!H$7,((1+(R18/9))*(1+P18))*VLOOKUP(F18,'2. AWARDS'!$C$9:$O$35,11,FALSE),IF(E18='2. AWARDS'!I$7,((1+(R18/9))*(1+P18))*VLOOKUP(F18,'2. AWARDS'!$C$9:$O$35,12,FALSE),IF(E18='2. AWARDS'!J$7,((1+(R18/9))*(1+P18))*VLOOKUP(F18,'2. AWARDS'!$C$9:$O$35,13,FALSE)))))),"?")))))))))))</f>
        <v>0</v>
      </c>
      <c r="Z18" s="656" t="e">
        <f>IF(AND(E18='2. AWARDS'!F$7,O18&gt;N18,O18&gt;Q18,VLOOKUP(F18,'2. AWARDS'!$C$9:$O$35,9,FALSE)&lt;&gt;0),VLOOKUP(F18,'2. AWARDS'!$C$9:$O$35,9,FALSE)*(1+P18)*(1+(R18/9)),IF(AND(E18='2. AWARDS'!F$7,O18&gt;N18,O18&gt;Q18,VLOOKUP(F18,'2. AWARDS'!$C$9:$O$35,9,FALSE)=0),X18*(1+P18)*(1+(R18/9)),IF(AND(E18='2. AWARDS'!G$7,O18&gt;N18,O18&gt;Q18,VLOOKUP(F18,'2. AWARDS'!$C$9:$O$35,10,FALSE)&lt;&gt;0),VLOOKUP(F18,'2. AWARDS'!$C$9:$O$35,10,FALSE)*(1+P18)*(1+(R18/9)),IF(AND(E18='2. AWARDS'!G$7,O18&gt;N18,O18&gt;Q18,VLOOKUP(F18,'2. AWARDS'!$C$9:$O$35,10,FALSE)=0),X18*(1+P18)*(1+(R18/9)),IF(AND(E18='2. AWARDS'!H$7,O18&gt;N18,O18&gt;Q18,VLOOKUP(F18,'2. AWARDS'!$C$9:$O$35,11,FALSE)&lt;&gt;0),VLOOKUP(F18,'2. AWARDS'!$C$9:$O$35,11,FALSE)*(1+P18)*(1+(R18/9)),IF(AND(E18='2. AWARDS'!H$7,O18&gt;N18,O18&gt;Q18,VLOOKUP(F18,'2. AWARDS'!$C$9:$O$35,11,FALSE)=0),X18*(1+P18)*(1+(R18/9)),IF(AND(E18='2. AWARDS'!I$7,O18&gt;N18,O18&gt;Q18,VLOOKUP(F18,'2. AWARDS'!$C$9:$O$35,12,FALSE)&lt;&gt;0),VLOOKUP(F18,'2. AWARDS'!$C$9:$O$35,12,FALSE)*(1+P18)*(1+(R18/9)),IF(AND(E18='2. AWARDS'!I$7,O18&gt;N18,O18&gt;Q18,VLOOKUP(F18,'2. AWARDS'!$C$9:$O$35,12,FALSE)=0),X18*(1+P18)*(1+(R18/9)),IF(AND(E18='2. AWARDS'!J$7,O18&gt;N18,O18&gt;Q18,VLOOKUP(F18,'2. AWARDS'!$C$9:$O$35,13,FALSE)&lt;&gt;0),VLOOKUP(F18,'2. AWARDS'!$C$9:$O$35,13,FALSE)*(1+P18)*(1+(R18/9)),IF(AND(E18='2. AWARDS'!J$7,O18&gt;N18,O18&gt;Q18,VLOOKUP(F18,'2. AWARDS'!$C$9:$O$35,13,FALSE)=0),X18*(1+P18)*(1+(R18/9)),IF(AND(O18&lt;N18,O18&gt;Q18),X18*(1+P18)*(1+(R18/9)),IF(AND(E18='2. AWARDS'!F$7,O18=MAX(N18,Q18),VLOOKUP(F18,'2. AWARDS'!$C$9:$O$35,9,FALSE)&lt;&gt;0),VLOOKUP(F18,'2. AWARDS'!$C$9:$O$35,9,FALSE)*(1+P18)*(1+(R18/9)),IF(AND(E18='2. AWARDS'!F$7,O18=MAX(N18,Q18),VLOOKUP(F18,'2. AWARDS'!$C$9:$O$35,9,FALSE)=0),X18*(1+P18)*(1+(R18/9)),IF(AND(E18='2. AWARDS'!G$7,O18=MAX(N18,Q18),VLOOKUP(F18,'2. AWARDS'!$C$9:$O$35,10,FALSE)&lt;&gt;0),VLOOKUP(F18,'2. AWARDS'!$C$9:$O$35,10,FALSE)*(1+P18)*(1+(R18/9)),IF(AND(E18='2. AWARDS'!G$7,O18=MAX(N18,Q18),VLOOKUP(F18,'2. AWARDS'!$C$9:$O$35,10,FALSE)=0),X18*(1+P18)*(1+(R18/9)),IF(AND(E18='2. AWARDS'!H$7,O18=MAX(N18,Q18),VLOOKUP(F18,'2. AWARDS'!$C$9:$O$35,11,FALSE)&lt;&gt;0),VLOOKUP(F18,'2. AWARDS'!$C$9:$O$35,11,FALSE)*(1+P18)*(1+(R18/9)),IF(AND(E18='2. AWARDS'!H$7,O18=MAX(N18,Q18),VLOOKUP(F18,'2. AWARDS'!$C$9:$O$35,11,FALSE)=0),X18*(1+P18)*(1+(R18/9)),IF(AND(E18='2. AWARDS'!I$7,O18=MAX(N18,Q18),VLOOKUP(F18,'2. AWARDS'!$C$9:$O$35,12,FALSE)&lt;&gt;0),VLOOKUP(F18,'2. AWARDS'!$C$9:$O$35,12,FALSE)*(1+P18)*(1+(R18/9)),IF(AND(E18='2. AWARDS'!I$7,O18=MAX(N18,Q18),VLOOKUP(F18,'2. AWARDS'!$C$9:$O$35,12,FALSE)=0),X18*(1+P18)*(1+(R18/9)),IF(AND(E18='2. AWARDS'!J$7,O18=MAX(N18,Q18),VLOOKUP(F18,'2. AWARDS'!$C$9:$O$35,13,FALSE)&lt;&gt;0),VLOOKUP(F18,'2. AWARDS'!$C$9:$O$35,13,FALSE)*(1+P18)*(1+(R18/9)),IF(AND(E18='2. AWARDS'!J$7,O18=MAX(N18,Q18),VLOOKUP(F18,'2. AWARDS'!$C$9:$O$35,13,FALSE)=0),X18*(1+P18)*(1+(R18/9)),IF(AND(O18&lt;N18,O18&lt;Q18),X18*(1+P18),IF(AND(O18=N18,N18&lt;Q18,E18='2. AWARDS'!F$7),VLOOKUP(F18,'2. AWARDS'!$C$9:$O$35,9,FALSE)*(1+P18),IF(AND(O18=N18,N18&lt;Q18,E18='2. AWARDS'!G$7),VLOOKUP(F18,'2. AWARDS'!$C$9:$O$35,10,FALSE)*(1+P18),IF(AND(O18=N18,N18&lt;Q18,E18='2. AWARDS'!H$7),VLOOKUP(F18,'2. AWARDS'!$C$9:$O$35,11,FALSE)*(1+P18),IF(AND(O18=N18,N18&lt;Q18,E18='2. AWARDS'!I$7),VLOOKUP(F18,'2. AWARDS'!$C$9:$O$35,12,FALSE)*(1+P18),IF(AND(O18=N18,N18&lt;Q18,E18='2. AWARDS'!J$7),VLOOKUP(F18,'2. AWARDS'!$C$9:$O$35,13,FALSE)*(1+P18),IF(AND(O18=Q18,N18&gt;Q18),X18*(1+P18)*(1+(R18/9)),IF(AND(E18='2. AWARDS'!F$7,O18&gt;N18,O18&lt;Q18,VLOOKUP(F18,'2. AWARDS'!$C$9:$O$35,9,FALSE)&lt;&gt;0),VLOOKUP(F18,'2. AWARDS'!$C$9:$O$35,9,FALSE)*(1+P18),IF(AND(E18='2. AWARDS'!G$7,O18&gt;N18,O18&lt;Q18,VLOOKUP(F18,'2. AWARDS'!$C$9:$O$35,10,FALSE)&lt;&gt;0),VLOOKUP(F18,'2. AWARDS'!$C$9:$O$35,10,FALSE)*(1+P18),IF(AND(E18='2. AWARDS'!H$7,O18&gt;N18,O18&lt;Q18,VLOOKUP(F18,'2. AWARDS'!$C$9:$O$35,11,FALSE)&lt;&gt;0),VLOOKUP(F18,'2. AWARDS'!$C$9:$O$35,11,FALSE)*(1+P18),IF(AND(E18='2. AWARDS'!I$7,O18&gt;N18,O18&lt;Q18,VLOOKUP(F18,'2. AWARDS'!$C$9:$O$35,12,FALSE)&lt;&gt;0),VLOOKUP(F18,'2. AWARDS'!$C$9:$O$35,12,FALSE)*(1+P18),IF(AND(E18='2. AWARDS'!J$7,O18&gt;N18,O18&lt;Q18,VLOOKUP(F18,'2. AWARDS'!$C$9:$O$35,13,FALSE)&lt;&gt;0),VLOOKUP(F18,'2. AWARDS'!$C$9:$O$35,13,FALSE)*(1+P18),X18*(1+P18))))))))))))))))))))))))))))))))))</f>
        <v>#N/A</v>
      </c>
      <c r="AA18" s="661" t="e">
        <f t="shared" si="2"/>
        <v>#N/A</v>
      </c>
      <c r="AB18" s="683"/>
      <c r="AC18" s="774"/>
      <c r="AD18" s="774"/>
      <c r="AE18" s="774"/>
      <c r="AF18" s="781">
        <f t="shared" si="9"/>
        <v>0</v>
      </c>
      <c r="AG18" s="781" t="e">
        <f>HLOOKUP(E18,'2. AWARDS'!$F$7:$J$40,32,FALSE)/5*HLOOKUP(E18,'2. AWARDS'!$F$7:$J$40,31,FALSE)*MAX(W18:AA18)*M18*HLOOKUP(E18,'2. AWARDS'!$F$7:$J$40,34,FALSE)*L18/(38*2)</f>
        <v>#N/A</v>
      </c>
      <c r="AH18" s="783" t="e">
        <f>((HLOOKUP(E18,'2. AWARDS'!$F$7:$J$42,36,FALSE)/HLOOKUP(E18,'2. AWARDS'!$F$7:$J$42,35,FALSE)*HLOOKUP(E18,'2. AWARDS'!$F$7:$J$45,39,FALSE))/(HLOOKUP(E18,'2. AWARDS'!$F$7:$J$45,31,FALSE)*2)*L18*M18*HLOOKUP(E18,'2. AWARDS'!$F$7:$J$45,31,FALSE)*MAX(W18:AA18))</f>
        <v>#N/A</v>
      </c>
      <c r="AI18" s="474"/>
      <c r="AJ18" s="800"/>
      <c r="AK18" s="800"/>
      <c r="AL18" s="801"/>
      <c r="AM18" s="802"/>
      <c r="AN18" s="805"/>
      <c r="AO18" s="836">
        <f>IF(AJ18="YES",HLOOKUP(E18,'2. AWARDS'!$F$7:$J$38,32,FALSE)/5*HLOOKUP(E18,'2. AWARDS'!$F$7:$J$37,31,FALSE)*L18/(HLOOKUP(E18,'2. AWARDS'!$F$7:$J$37,31,FALSE)*2)*M18*MAX(W18:AA18)*(1+HLOOKUP(E18,'2. AWARDS'!$F$7:$J$43,37,FALSE))*(1-AM18),0)</f>
        <v>0</v>
      </c>
      <c r="AP18" s="836">
        <f>IF(AK18="YES",HLOOKUP(E18,'2. AWARDS'!$F$7:$J$39,33,FALSE)/5*HLOOKUP(E18,'2. AWARDS'!$F$7:$J$37,31,FALSE)*L18/(HLOOKUP(E18,'2. AWARDS'!$F$7:$J$37,31,FALSE)*2)*M18*MAX(W18:AA18)*(1+HLOOKUP(E18,'2. AWARDS'!$F$7:$J$43,37,FALSE))*(1-AM18),0)</f>
        <v>0</v>
      </c>
      <c r="AQ18" s="838">
        <f>IF(AL18="YES",HLOOKUP(E18,'2. AWARDS'!$F$7:$J$47,40,FALSE)/5*HLOOKUP(E18,'2. AWARDS'!$F$7:$J$37,31,FALSE)*L18/(HLOOKUP(E18,'2. AWARDS'!$F$7:$J$37,31,FALSE)*2)*M18*MAX(W18:AA18)*(1+HLOOKUP(E18,'2. AWARDS'!$F$7:$J$43,37,FALSE))*(1-AM18),0)</f>
        <v>0</v>
      </c>
      <c r="AR18" s="839">
        <f>(IF(AJ18="YES",HLOOKUP(E18,'2. AWARDS'!$F$7:$J$39,32,FALSE),0)+IF(AK18="YES",HLOOKUP(E18,'2. AWARDS'!$F$7:$J$39,33,FALSE),0)+IF(AL18="YES",HLOOKUP(E18,'2. AWARDS'!$F$7:$J$47,40,FALSE),0))*L18/76*7.6*AM18*AN18*M18</f>
        <v>0</v>
      </c>
      <c r="AS18" s="683"/>
      <c r="AT18" s="215">
        <f>'1. KEY DATA'!J$29</f>
        <v>0</v>
      </c>
      <c r="AU18" s="218">
        <f>'1. KEY DATA'!J$30</f>
        <v>0.09</v>
      </c>
      <c r="AV18" s="502"/>
      <c r="AW18" s="1104">
        <f t="shared" si="3"/>
        <v>0</v>
      </c>
      <c r="AX18" s="176"/>
      <c r="AY18" s="173"/>
      <c r="AZ18" s="452">
        <f t="shared" si="4"/>
        <v>0</v>
      </c>
      <c r="BA18" s="402">
        <f t="shared" si="5"/>
        <v>0</v>
      </c>
      <c r="BB18" s="406" t="str">
        <f t="shared" si="0"/>
        <v>-</v>
      </c>
      <c r="BC18" s="406" t="str">
        <f t="shared" si="0"/>
        <v>-</v>
      </c>
      <c r="BD18" s="406" t="str">
        <f t="shared" si="0"/>
        <v>-</v>
      </c>
      <c r="BE18" s="406" t="str">
        <f t="shared" si="0"/>
        <v>-</v>
      </c>
      <c r="BF18" s="406" t="str">
        <f t="shared" si="0"/>
        <v>-</v>
      </c>
      <c r="BG18" s="406" t="str">
        <f t="shared" si="0"/>
        <v>-</v>
      </c>
      <c r="BH18" s="406" t="str">
        <f t="shared" si="0"/>
        <v>-</v>
      </c>
      <c r="BI18" s="406" t="str">
        <f t="shared" si="0"/>
        <v>-</v>
      </c>
      <c r="BJ18" s="406" t="str">
        <f t="shared" si="0"/>
        <v>-</v>
      </c>
      <c r="BK18" s="406" t="str">
        <f t="shared" si="0"/>
        <v>-</v>
      </c>
      <c r="BL18" s="406" t="str">
        <f t="shared" si="0"/>
        <v>-</v>
      </c>
      <c r="BM18" s="406" t="str">
        <f t="shared" si="0"/>
        <v>-</v>
      </c>
      <c r="BN18" s="406" t="str">
        <f t="shared" si="0"/>
        <v>-</v>
      </c>
      <c r="BO18" s="407" t="str">
        <f t="shared" si="0"/>
        <v>-</v>
      </c>
      <c r="BP18" s="1539"/>
    </row>
    <row r="19" spans="2:68" s="9" customFormat="1">
      <c r="B19" s="1180"/>
      <c r="C19" s="80"/>
      <c r="D19" s="699">
        <f t="shared" si="1"/>
        <v>0</v>
      </c>
      <c r="E19" s="697"/>
      <c r="F19" s="1183"/>
      <c r="G19" s="701"/>
      <c r="H19" s="693"/>
      <c r="I19" s="694"/>
      <c r="J19" s="1113"/>
      <c r="K19" s="1114"/>
      <c r="L19" s="763"/>
      <c r="M19" s="689"/>
      <c r="N19" s="628"/>
      <c r="O19" s="628"/>
      <c r="P19" s="638">
        <f t="shared" si="6"/>
        <v>0.03</v>
      </c>
      <c r="Q19" s="797"/>
      <c r="R19" s="673" t="str">
        <f t="shared" si="7"/>
        <v>-</v>
      </c>
      <c r="S19" s="649"/>
      <c r="T19" s="647">
        <v>0</v>
      </c>
      <c r="U19" s="827"/>
      <c r="V19" s="670"/>
      <c r="W19" s="798">
        <f t="shared" si="8"/>
        <v>0</v>
      </c>
      <c r="X19" s="656">
        <f>IF(OR(E19=0,F19=0),0,IF(E19='2. AWARDS'!F$7,VLOOKUP(F19,'2. AWARDS'!$C$9:$F$35,4,FALSE),IF(E19='2. AWARDS'!G$7,VLOOKUP(F19,'2. AWARDS'!$C$9:$G$35,5,FALSE),IF(E19='2. AWARDS'!H$7,VLOOKUP(F19,'2. AWARDS'!$C$9:$H$35,6,FALSE),IF(E19='2. AWARDS'!I$7,VLOOKUP(F19,'2. AWARDS'!$C$9:$I$35,7,FALSE),VLOOKUP(F19,'2. AWARDS'!$C$9:$J$35,8,FALSE))))))</f>
        <v>0</v>
      </c>
      <c r="Y19" s="657">
        <f>IF(OR(E19=0,F19=0),0,IF(AND(N19=0,E19='2. AWARDS'!F$7,VLOOKUP(F19,'2. AWARDS'!$C$9:$O$35,9,FALSE)&lt;&gt;0),"date missing",IF(AND(N19=0,E19='2. AWARDS'!G$7,VLOOKUP(F19,'2. AWARDS'!$C$9:$O$35,10,FALSE)&lt;&gt;0),"date missing",IF(AND(N19=0,E19='2. AWARDS'!H$7,VLOOKUP(F19,'2. AWARDS'!$C$9:$O$35,11,FALSE)&lt;&gt;0),"date missing",IF(AND(N19=0,E19='2. AWARDS'!I$7,VLOOKUP(F19,'2. AWARDS'!$C$9:$O$35,12,FALSE)&lt;&gt;0),"date missing",IF(AND(N19=0,E19='2. AWARDS'!J$7,VLOOKUP(F19,'2. AWARDS'!$C$9:$O$35,13,FALSE)&lt;&gt;0),"date missing",IF(N19=0,0,IF(OR(N19=MIN(O19,Q19),AND(N19&lt;O19,N19&lt;Q19,N19&gt;0)),IF(E19='2. AWARDS'!F$7,VLOOKUP(F19,'2. AWARDS'!$C$9:$O$35,9,FALSE),IF(E19='2. AWARDS'!G$7,VLOOKUP(F19,'2. AWARDS'!$C$9:$O$35,10,FALSE),IF(E19='2. AWARDS'!H$7,VLOOKUP(F19,'2. AWARDS'!$C$9:$O$35,11,FALSE),IF(E19='2. AWARDS'!I$7,VLOOKUP(F19,'2. AWARDS'!$C$9:$O$35,12,FALSE),IF(E19='2. AWARDS'!J$7,VLOOKUP(F19,'2. AWARDS'!$C$9:$O$35,13,FALSE)))))),IF(AND(N19&gt;O19,N19&lt;Q19),IF(E19='2. AWARDS'!F$7,(1+P19)*VLOOKUP(F19,'2. AWARDS'!$C$9:$O$35,9,FALSE),IF(E19='2. AWARDS'!G$7,(1+P19)*VLOOKUP(F19,'2. AWARDS'!$C$9:$O$35,10,FALSE),IF(E19='2. AWARDS'!H$7,(1+P19)*VLOOKUP(F19,'2. AWARDS'!$C$9:$O$35,11,FALSE),IF(E19='2. AWARDS'!I$7,(1+P19)*VLOOKUP(F19,'2. AWARDS'!$C$9:$O$35,12,FALSE),IF(E19='2. AWARDS'!J$7,(1+P19)*VLOOKUP(F19,'2. AWARDS'!$C$9:$O$35,13,FALSE)))))),IF(AND(N19&lt;O19,N19&gt;Q19),IF(E19='2. AWARDS'!F$7,(1+(R19/9))*VLOOKUP(F19,'2. AWARDS'!$C$9:$O$35,9,FALSE),IF(E19='2. AWARDS'!G$7,(1+(R19/9))*VLOOKUP(F19,'2. AWARDS'!$C$9:$O$35,10,FALSE),IF(E19='2. AWARDS'!H$7,(1+(R19/9))*VLOOKUP(F19,'2. AWARDS'!$C$9:$O$35,11,FALSE),IF(E19='2. AWARDS'!I$7,(1+(R19/9))*VLOOKUP(F19,'2. AWARDS'!$C$9:$O$35,12,FALSE),IF(E19='2. AWARDS'!J$7,(1+(R19/9))*VLOOKUP(F19,'2. AWARDS'!$C$9:$O$35,13,FALSE)))))),IF(OR(N19=MAX(O19,Q19),AND(N19&gt;O19,N19&gt;Q19)),IF(E19='2. AWARDS'!F$7,((1+(R19/9))*(1+P19))*VLOOKUP(F19,'2. AWARDS'!$C$9:$O$35,9,FALSE),IF(E19='2. AWARDS'!G$7,((1+(R19/9))*(1+P19))*VLOOKUP(F19,'2. AWARDS'!$C$9:$O$35,10,FALSE),IF(E19='2. AWARDS'!H$7,((1+(R19/9))*(1+P19))*VLOOKUP(F19,'2. AWARDS'!$C$9:$O$35,11,FALSE),IF(E19='2. AWARDS'!I$7,((1+(R19/9))*(1+P19))*VLOOKUP(F19,'2. AWARDS'!$C$9:$O$35,12,FALSE),IF(E19='2. AWARDS'!J$7,((1+(R19/9))*(1+P19))*VLOOKUP(F19,'2. AWARDS'!$C$9:$O$35,13,FALSE)))))),"?")))))))))))</f>
        <v>0</v>
      </c>
      <c r="Z19" s="656" t="e">
        <f>IF(AND(E19='2. AWARDS'!F$7,O19&gt;N19,O19&gt;Q19,VLOOKUP(F19,'2. AWARDS'!$C$9:$O$35,9,FALSE)&lt;&gt;0),VLOOKUP(F19,'2. AWARDS'!$C$9:$O$35,9,FALSE)*(1+P19)*(1+(R19/9)),IF(AND(E19='2. AWARDS'!F$7,O19&gt;N19,O19&gt;Q19,VLOOKUP(F19,'2. AWARDS'!$C$9:$O$35,9,FALSE)=0),X19*(1+P19)*(1+(R19/9)),IF(AND(E19='2. AWARDS'!G$7,O19&gt;N19,O19&gt;Q19,VLOOKUP(F19,'2. AWARDS'!$C$9:$O$35,10,FALSE)&lt;&gt;0),VLOOKUP(F19,'2. AWARDS'!$C$9:$O$35,10,FALSE)*(1+P19)*(1+(R19/9)),IF(AND(E19='2. AWARDS'!G$7,O19&gt;N19,O19&gt;Q19,VLOOKUP(F19,'2. AWARDS'!$C$9:$O$35,10,FALSE)=0),X19*(1+P19)*(1+(R19/9)),IF(AND(E19='2. AWARDS'!H$7,O19&gt;N19,O19&gt;Q19,VLOOKUP(F19,'2. AWARDS'!$C$9:$O$35,11,FALSE)&lt;&gt;0),VLOOKUP(F19,'2. AWARDS'!$C$9:$O$35,11,FALSE)*(1+P19)*(1+(R19/9)),IF(AND(E19='2. AWARDS'!H$7,O19&gt;N19,O19&gt;Q19,VLOOKUP(F19,'2. AWARDS'!$C$9:$O$35,11,FALSE)=0),X19*(1+P19)*(1+(R19/9)),IF(AND(E19='2. AWARDS'!I$7,O19&gt;N19,O19&gt;Q19,VLOOKUP(F19,'2. AWARDS'!$C$9:$O$35,12,FALSE)&lt;&gt;0),VLOOKUP(F19,'2. AWARDS'!$C$9:$O$35,12,FALSE)*(1+P19)*(1+(R19/9)),IF(AND(E19='2. AWARDS'!I$7,O19&gt;N19,O19&gt;Q19,VLOOKUP(F19,'2. AWARDS'!$C$9:$O$35,12,FALSE)=0),X19*(1+P19)*(1+(R19/9)),IF(AND(E19='2. AWARDS'!J$7,O19&gt;N19,O19&gt;Q19,VLOOKUP(F19,'2. AWARDS'!$C$9:$O$35,13,FALSE)&lt;&gt;0),VLOOKUP(F19,'2. AWARDS'!$C$9:$O$35,13,FALSE)*(1+P19)*(1+(R19/9)),IF(AND(E19='2. AWARDS'!J$7,O19&gt;N19,O19&gt;Q19,VLOOKUP(F19,'2. AWARDS'!$C$9:$O$35,13,FALSE)=0),X19*(1+P19)*(1+(R19/9)),IF(AND(O19&lt;N19,O19&gt;Q19),X19*(1+P19)*(1+(R19/9)),IF(AND(E19='2. AWARDS'!F$7,O19=MAX(N19,Q19),VLOOKUP(F19,'2. AWARDS'!$C$9:$O$35,9,FALSE)&lt;&gt;0),VLOOKUP(F19,'2. AWARDS'!$C$9:$O$35,9,FALSE)*(1+P19)*(1+(R19/9)),IF(AND(E19='2. AWARDS'!F$7,O19=MAX(N19,Q19),VLOOKUP(F19,'2. AWARDS'!$C$9:$O$35,9,FALSE)=0),X19*(1+P19)*(1+(R19/9)),IF(AND(E19='2. AWARDS'!G$7,O19=MAX(N19,Q19),VLOOKUP(F19,'2. AWARDS'!$C$9:$O$35,10,FALSE)&lt;&gt;0),VLOOKUP(F19,'2. AWARDS'!$C$9:$O$35,10,FALSE)*(1+P19)*(1+(R19/9)),IF(AND(E19='2. AWARDS'!G$7,O19=MAX(N19,Q19),VLOOKUP(F19,'2. AWARDS'!$C$9:$O$35,10,FALSE)=0),X19*(1+P19)*(1+(R19/9)),IF(AND(E19='2. AWARDS'!H$7,O19=MAX(N19,Q19),VLOOKUP(F19,'2. AWARDS'!$C$9:$O$35,11,FALSE)&lt;&gt;0),VLOOKUP(F19,'2. AWARDS'!$C$9:$O$35,11,FALSE)*(1+P19)*(1+(R19/9)),IF(AND(E19='2. AWARDS'!H$7,O19=MAX(N19,Q19),VLOOKUP(F19,'2. AWARDS'!$C$9:$O$35,11,FALSE)=0),X19*(1+P19)*(1+(R19/9)),IF(AND(E19='2. AWARDS'!I$7,O19=MAX(N19,Q19),VLOOKUP(F19,'2. AWARDS'!$C$9:$O$35,12,FALSE)&lt;&gt;0),VLOOKUP(F19,'2. AWARDS'!$C$9:$O$35,12,FALSE)*(1+P19)*(1+(R19/9)),IF(AND(E19='2. AWARDS'!I$7,O19=MAX(N19,Q19),VLOOKUP(F19,'2. AWARDS'!$C$9:$O$35,12,FALSE)=0),X19*(1+P19)*(1+(R19/9)),IF(AND(E19='2. AWARDS'!J$7,O19=MAX(N19,Q19),VLOOKUP(F19,'2. AWARDS'!$C$9:$O$35,13,FALSE)&lt;&gt;0),VLOOKUP(F19,'2. AWARDS'!$C$9:$O$35,13,FALSE)*(1+P19)*(1+(R19/9)),IF(AND(E19='2. AWARDS'!J$7,O19=MAX(N19,Q19),VLOOKUP(F19,'2. AWARDS'!$C$9:$O$35,13,FALSE)=0),X19*(1+P19)*(1+(R19/9)),IF(AND(O19&lt;N19,O19&lt;Q19),X19*(1+P19),IF(AND(O19=N19,N19&lt;Q19,E19='2. AWARDS'!F$7),VLOOKUP(F19,'2. AWARDS'!$C$9:$O$35,9,FALSE)*(1+P19),IF(AND(O19=N19,N19&lt;Q19,E19='2. AWARDS'!G$7),VLOOKUP(F19,'2. AWARDS'!$C$9:$O$35,10,FALSE)*(1+P19),IF(AND(O19=N19,N19&lt;Q19,E19='2. AWARDS'!H$7),VLOOKUP(F19,'2. AWARDS'!$C$9:$O$35,11,FALSE)*(1+P19),IF(AND(O19=N19,N19&lt;Q19,E19='2. AWARDS'!I$7),VLOOKUP(F19,'2. AWARDS'!$C$9:$O$35,12,FALSE)*(1+P19),IF(AND(O19=N19,N19&lt;Q19,E19='2. AWARDS'!J$7),VLOOKUP(F19,'2. AWARDS'!$C$9:$O$35,13,FALSE)*(1+P19),IF(AND(O19=Q19,N19&gt;Q19),X19*(1+P19)*(1+(R19/9)),IF(AND(E19='2. AWARDS'!F$7,O19&gt;N19,O19&lt;Q19,VLOOKUP(F19,'2. AWARDS'!$C$9:$O$35,9,FALSE)&lt;&gt;0),VLOOKUP(F19,'2. AWARDS'!$C$9:$O$35,9,FALSE)*(1+P19),IF(AND(E19='2. AWARDS'!G$7,O19&gt;N19,O19&lt;Q19,VLOOKUP(F19,'2. AWARDS'!$C$9:$O$35,10,FALSE)&lt;&gt;0),VLOOKUP(F19,'2. AWARDS'!$C$9:$O$35,10,FALSE)*(1+P19),IF(AND(E19='2. AWARDS'!H$7,O19&gt;N19,O19&lt;Q19,VLOOKUP(F19,'2. AWARDS'!$C$9:$O$35,11,FALSE)&lt;&gt;0),VLOOKUP(F19,'2. AWARDS'!$C$9:$O$35,11,FALSE)*(1+P19),IF(AND(E19='2. AWARDS'!I$7,O19&gt;N19,O19&lt;Q19,VLOOKUP(F19,'2. AWARDS'!$C$9:$O$35,12,FALSE)&lt;&gt;0),VLOOKUP(F19,'2. AWARDS'!$C$9:$O$35,12,FALSE)*(1+P19),IF(AND(E19='2. AWARDS'!J$7,O19&gt;N19,O19&lt;Q19,VLOOKUP(F19,'2. AWARDS'!$C$9:$O$35,13,FALSE)&lt;&gt;0),VLOOKUP(F19,'2. AWARDS'!$C$9:$O$35,13,FALSE)*(1+P19),X19*(1+P19))))))))))))))))))))))))))))))))))</f>
        <v>#N/A</v>
      </c>
      <c r="AA19" s="661" t="e">
        <f t="shared" si="2"/>
        <v>#N/A</v>
      </c>
      <c r="AB19" s="683"/>
      <c r="AC19" s="774"/>
      <c r="AD19" s="774"/>
      <c r="AE19" s="774"/>
      <c r="AF19" s="781">
        <f t="shared" si="9"/>
        <v>0</v>
      </c>
      <c r="AG19" s="781" t="e">
        <f>HLOOKUP(E19,'2. AWARDS'!$F$7:$J$40,32,FALSE)/5*HLOOKUP(E19,'2. AWARDS'!$F$7:$J$40,31,FALSE)*MAX(W19:AA19)*M19*HLOOKUP(E19,'2. AWARDS'!$F$7:$J$40,34,FALSE)*L19/(38*2)</f>
        <v>#N/A</v>
      </c>
      <c r="AH19" s="783" t="e">
        <f>((HLOOKUP(E19,'2. AWARDS'!$F$7:$J$42,36,FALSE)/HLOOKUP(E19,'2. AWARDS'!$F$7:$J$42,35,FALSE)*HLOOKUP(E19,'2. AWARDS'!$F$7:$J$45,39,FALSE))/(HLOOKUP(E19,'2. AWARDS'!$F$7:$J$45,31,FALSE)*2)*L19*M19*HLOOKUP(E19,'2. AWARDS'!$F$7:$J$45,31,FALSE)*MAX(W19:AA19))</f>
        <v>#N/A</v>
      </c>
      <c r="AI19" s="474"/>
      <c r="AJ19" s="804"/>
      <c r="AK19" s="801"/>
      <c r="AL19" s="801"/>
      <c r="AM19" s="802"/>
      <c r="AN19" s="805"/>
      <c r="AO19" s="836">
        <f>IF(AJ19="YES",HLOOKUP(E19,'2. AWARDS'!$F$7:$J$38,32,FALSE)/5*HLOOKUP(E19,'2. AWARDS'!$F$7:$J$37,31,FALSE)*L19/(HLOOKUP(E19,'2. AWARDS'!$F$7:$J$37,31,FALSE)*2)*M19*MAX(W19:AA19)*(1+HLOOKUP(E19,'2. AWARDS'!$F$7:$J$43,37,FALSE))*(1-AM19),0)</f>
        <v>0</v>
      </c>
      <c r="AP19" s="836">
        <f>IF(AK19="YES",HLOOKUP(E19,'2. AWARDS'!$F$7:$J$39,33,FALSE)/5*HLOOKUP(E19,'2. AWARDS'!$F$7:$J$37,31,FALSE)*L19/(HLOOKUP(E19,'2. AWARDS'!$F$7:$J$37,31,FALSE)*2)*M19*MAX(W19:AA19)*(1+HLOOKUP(E19,'2. AWARDS'!$F$7:$J$43,37,FALSE))*(1-AM19),0)</f>
        <v>0</v>
      </c>
      <c r="AQ19" s="838">
        <f>IF(AL19="YES",HLOOKUP(E19,'2. AWARDS'!$F$7:$J$47,40,FALSE)/5*HLOOKUP(E19,'2. AWARDS'!$F$7:$J$37,31,FALSE)*L19/(HLOOKUP(E19,'2. AWARDS'!$F$7:$J$37,31,FALSE)*2)*M19*MAX(W19:AA19)*(1+HLOOKUP(E19,'2. AWARDS'!$F$7:$J$43,37,FALSE))*(1-AM19),0)</f>
        <v>0</v>
      </c>
      <c r="AR19" s="839">
        <f>(IF(AJ19="YES",HLOOKUP(E19,'2. AWARDS'!$F$7:$J$39,32,FALSE),0)+IF(AK19="YES",HLOOKUP(E19,'2. AWARDS'!$F$7:$J$39,33,FALSE),0)+IF(AL19="YES",HLOOKUP(E19,'2. AWARDS'!$F$7:$J$47,40,FALSE),0))*L19/76*7.6*AM19*AN19*M19</f>
        <v>0</v>
      </c>
      <c r="AS19" s="683"/>
      <c r="AT19" s="215">
        <f>'1. KEY DATA'!J$29</f>
        <v>0</v>
      </c>
      <c r="AU19" s="218">
        <f>'1. KEY DATA'!J$30</f>
        <v>0.09</v>
      </c>
      <c r="AV19" s="502"/>
      <c r="AW19" s="1104">
        <f t="shared" si="3"/>
        <v>0</v>
      </c>
      <c r="AX19" s="176"/>
      <c r="AY19" s="173"/>
      <c r="AZ19" s="452">
        <f t="shared" si="4"/>
        <v>0</v>
      </c>
      <c r="BA19" s="402">
        <f t="shared" si="5"/>
        <v>0</v>
      </c>
      <c r="BB19" s="406" t="str">
        <f t="shared" si="0"/>
        <v>-</v>
      </c>
      <c r="BC19" s="406" t="str">
        <f t="shared" si="0"/>
        <v>-</v>
      </c>
      <c r="BD19" s="406" t="str">
        <f t="shared" si="0"/>
        <v>-</v>
      </c>
      <c r="BE19" s="406" t="str">
        <f t="shared" si="0"/>
        <v>-</v>
      </c>
      <c r="BF19" s="406" t="str">
        <f t="shared" si="0"/>
        <v>-</v>
      </c>
      <c r="BG19" s="406" t="str">
        <f t="shared" si="0"/>
        <v>-</v>
      </c>
      <c r="BH19" s="406" t="str">
        <f t="shared" si="0"/>
        <v>-</v>
      </c>
      <c r="BI19" s="406" t="str">
        <f t="shared" si="0"/>
        <v>-</v>
      </c>
      <c r="BJ19" s="406" t="str">
        <f t="shared" si="0"/>
        <v>-</v>
      </c>
      <c r="BK19" s="406" t="str">
        <f t="shared" si="0"/>
        <v>-</v>
      </c>
      <c r="BL19" s="406" t="str">
        <f t="shared" si="0"/>
        <v>-</v>
      </c>
      <c r="BM19" s="406" t="str">
        <f t="shared" si="0"/>
        <v>-</v>
      </c>
      <c r="BN19" s="406" t="str">
        <f t="shared" si="0"/>
        <v>-</v>
      </c>
      <c r="BO19" s="407" t="str">
        <f t="shared" si="0"/>
        <v>-</v>
      </c>
      <c r="BP19" s="1539"/>
    </row>
    <row r="20" spans="2:68" s="9" customFormat="1">
      <c r="B20" s="505"/>
      <c r="C20" s="80"/>
      <c r="D20" s="699">
        <f t="shared" si="1"/>
        <v>0</v>
      </c>
      <c r="E20" s="626"/>
      <c r="F20" s="652"/>
      <c r="G20" s="702"/>
      <c r="H20" s="693"/>
      <c r="I20" s="694"/>
      <c r="J20" s="1113"/>
      <c r="K20" s="1114"/>
      <c r="L20" s="763"/>
      <c r="M20" s="689"/>
      <c r="N20" s="629"/>
      <c r="O20" s="629"/>
      <c r="P20" s="638">
        <f t="shared" si="6"/>
        <v>0.03</v>
      </c>
      <c r="Q20" s="629"/>
      <c r="R20" s="673" t="str">
        <f t="shared" si="7"/>
        <v>-</v>
      </c>
      <c r="S20" s="649"/>
      <c r="T20" s="647"/>
      <c r="U20" s="827"/>
      <c r="V20" s="670"/>
      <c r="W20" s="798">
        <f t="shared" si="8"/>
        <v>0</v>
      </c>
      <c r="X20" s="656">
        <f>IF(OR(E20=0,F20=0),0,IF(E20='2. AWARDS'!F$7,VLOOKUP(F20,'2. AWARDS'!$C$9:$F$35,4,FALSE),IF(E20='2. AWARDS'!G$7,VLOOKUP(F20,'2. AWARDS'!$C$9:$G$35,5,FALSE),IF(E20='2. AWARDS'!H$7,VLOOKUP(F20,'2. AWARDS'!$C$9:$H$35,6,FALSE),IF(E20='2. AWARDS'!I$7,VLOOKUP(F20,'2. AWARDS'!$C$9:$I$35,7,FALSE),VLOOKUP(F20,'2. AWARDS'!$C$9:$J$35,8,FALSE))))))</f>
        <v>0</v>
      </c>
      <c r="Y20" s="657">
        <f>IF(OR(E20=0,F20=0),0,IF(AND(N20=0,E20='2. AWARDS'!F$7,VLOOKUP(F20,'2. AWARDS'!$C$9:$O$35,9,FALSE)&lt;&gt;0),"date missing",IF(AND(N20=0,E20='2. AWARDS'!G$7,VLOOKUP(F20,'2. AWARDS'!$C$9:$O$35,10,FALSE)&lt;&gt;0),"date missing",IF(AND(N20=0,E20='2. AWARDS'!H$7,VLOOKUP(F20,'2. AWARDS'!$C$9:$O$35,11,FALSE)&lt;&gt;0),"date missing",IF(AND(N20=0,E20='2. AWARDS'!I$7,VLOOKUP(F20,'2. AWARDS'!$C$9:$O$35,12,FALSE)&lt;&gt;0),"date missing",IF(AND(N20=0,E20='2. AWARDS'!J$7,VLOOKUP(F20,'2. AWARDS'!$C$9:$O$35,13,FALSE)&lt;&gt;0),"date missing",IF(N20=0,0,IF(OR(N20=MIN(O20,Q20),AND(N20&lt;O20,N20&lt;Q20,N20&gt;0)),IF(E20='2. AWARDS'!F$7,VLOOKUP(F20,'2. AWARDS'!$C$9:$O$35,9,FALSE),IF(E20='2. AWARDS'!G$7,VLOOKUP(F20,'2. AWARDS'!$C$9:$O$35,10,FALSE),IF(E20='2. AWARDS'!H$7,VLOOKUP(F20,'2. AWARDS'!$C$9:$O$35,11,FALSE),IF(E20='2. AWARDS'!I$7,VLOOKUP(F20,'2. AWARDS'!$C$9:$O$35,12,FALSE),IF(E20='2. AWARDS'!J$7,VLOOKUP(F20,'2. AWARDS'!$C$9:$O$35,13,FALSE)))))),IF(AND(N20&gt;O20,N20&lt;Q20),IF(E20='2. AWARDS'!F$7,(1+P20)*VLOOKUP(F20,'2. AWARDS'!$C$9:$O$35,9,FALSE),IF(E20='2. AWARDS'!G$7,(1+P20)*VLOOKUP(F20,'2. AWARDS'!$C$9:$O$35,10,FALSE),IF(E20='2. AWARDS'!H$7,(1+P20)*VLOOKUP(F20,'2. AWARDS'!$C$9:$O$35,11,FALSE),IF(E20='2. AWARDS'!I$7,(1+P20)*VLOOKUP(F20,'2. AWARDS'!$C$9:$O$35,12,FALSE),IF(E20='2. AWARDS'!J$7,(1+P20)*VLOOKUP(F20,'2. AWARDS'!$C$9:$O$35,13,FALSE)))))),IF(AND(N20&lt;O20,N20&gt;Q20),IF(E20='2. AWARDS'!F$7,(1+(R20/9))*VLOOKUP(F20,'2. AWARDS'!$C$9:$O$35,9,FALSE),IF(E20='2. AWARDS'!G$7,(1+(R20/9))*VLOOKUP(F20,'2. AWARDS'!$C$9:$O$35,10,FALSE),IF(E20='2. AWARDS'!H$7,(1+(R20/9))*VLOOKUP(F20,'2. AWARDS'!$C$9:$O$35,11,FALSE),IF(E20='2. AWARDS'!I$7,(1+(R20/9))*VLOOKUP(F20,'2. AWARDS'!$C$9:$O$35,12,FALSE),IF(E20='2. AWARDS'!J$7,(1+(R20/9))*VLOOKUP(F20,'2. AWARDS'!$C$9:$O$35,13,FALSE)))))),IF(OR(N20=MAX(O20,Q20),AND(N20&gt;O20,N20&gt;Q20)),IF(E20='2. AWARDS'!F$7,((1+(R20/9))*(1+P20))*VLOOKUP(F20,'2. AWARDS'!$C$9:$O$35,9,FALSE),IF(E20='2. AWARDS'!G$7,((1+(R20/9))*(1+P20))*VLOOKUP(F20,'2. AWARDS'!$C$9:$O$35,10,FALSE),IF(E20='2. AWARDS'!H$7,((1+(R20/9))*(1+P20))*VLOOKUP(F20,'2. AWARDS'!$C$9:$O$35,11,FALSE),IF(E20='2. AWARDS'!I$7,((1+(R20/9))*(1+P20))*VLOOKUP(F20,'2. AWARDS'!$C$9:$O$35,12,FALSE),IF(E20='2. AWARDS'!J$7,((1+(R20/9))*(1+P20))*VLOOKUP(F20,'2. AWARDS'!$C$9:$O$35,13,FALSE)))))),"?")))))))))))</f>
        <v>0</v>
      </c>
      <c r="Z20" s="656" t="e">
        <f>IF(AND(E20='2. AWARDS'!F$7,O20&gt;N20,O20&gt;Q20,VLOOKUP(F20,'2. AWARDS'!$C$9:$O$35,9,FALSE)&lt;&gt;0),VLOOKUP(F20,'2. AWARDS'!$C$9:$O$35,9,FALSE)*(1+P20)*(1+(R20/9)),IF(AND(E20='2. AWARDS'!F$7,O20&gt;N20,O20&gt;Q20,VLOOKUP(F20,'2. AWARDS'!$C$9:$O$35,9,FALSE)=0),X20*(1+P20)*(1+(R20/9)),IF(AND(E20='2. AWARDS'!G$7,O20&gt;N20,O20&gt;Q20,VLOOKUP(F20,'2. AWARDS'!$C$9:$O$35,10,FALSE)&lt;&gt;0),VLOOKUP(F20,'2. AWARDS'!$C$9:$O$35,10,FALSE)*(1+P20)*(1+(R20/9)),IF(AND(E20='2. AWARDS'!G$7,O20&gt;N20,O20&gt;Q20,VLOOKUP(F20,'2. AWARDS'!$C$9:$O$35,10,FALSE)=0),X20*(1+P20)*(1+(R20/9)),IF(AND(E20='2. AWARDS'!H$7,O20&gt;N20,O20&gt;Q20,VLOOKUP(F20,'2. AWARDS'!$C$9:$O$35,11,FALSE)&lt;&gt;0),VLOOKUP(F20,'2. AWARDS'!$C$9:$O$35,11,FALSE)*(1+P20)*(1+(R20/9)),IF(AND(E20='2. AWARDS'!H$7,O20&gt;N20,O20&gt;Q20,VLOOKUP(F20,'2. AWARDS'!$C$9:$O$35,11,FALSE)=0),X20*(1+P20)*(1+(R20/9)),IF(AND(E20='2. AWARDS'!I$7,O20&gt;N20,O20&gt;Q20,VLOOKUP(F20,'2. AWARDS'!$C$9:$O$35,12,FALSE)&lt;&gt;0),VLOOKUP(F20,'2. AWARDS'!$C$9:$O$35,12,FALSE)*(1+P20)*(1+(R20/9)),IF(AND(E20='2. AWARDS'!I$7,O20&gt;N20,O20&gt;Q20,VLOOKUP(F20,'2. AWARDS'!$C$9:$O$35,12,FALSE)=0),X20*(1+P20)*(1+(R20/9)),IF(AND(E20='2. AWARDS'!J$7,O20&gt;N20,O20&gt;Q20,VLOOKUP(F20,'2. AWARDS'!$C$9:$O$35,13,FALSE)&lt;&gt;0),VLOOKUP(F20,'2. AWARDS'!$C$9:$O$35,13,FALSE)*(1+P20)*(1+(R20/9)),IF(AND(E20='2. AWARDS'!J$7,O20&gt;N20,O20&gt;Q20,VLOOKUP(F20,'2. AWARDS'!$C$9:$O$35,13,FALSE)=0),X20*(1+P20)*(1+(R20/9)),IF(AND(O20&lt;N20,O20&gt;Q20),X20*(1+P20)*(1+(R20/9)),IF(AND(E20='2. AWARDS'!F$7,O20=MAX(N20,Q20),VLOOKUP(F20,'2. AWARDS'!$C$9:$O$35,9,FALSE)&lt;&gt;0),VLOOKUP(F20,'2. AWARDS'!$C$9:$O$35,9,FALSE)*(1+P20)*(1+(R20/9)),IF(AND(E20='2. AWARDS'!F$7,O20=MAX(N20,Q20),VLOOKUP(F20,'2. AWARDS'!$C$9:$O$35,9,FALSE)=0),X20*(1+P20)*(1+(R20/9)),IF(AND(E20='2. AWARDS'!G$7,O20=MAX(N20,Q20),VLOOKUP(F20,'2. AWARDS'!$C$9:$O$35,10,FALSE)&lt;&gt;0),VLOOKUP(F20,'2. AWARDS'!$C$9:$O$35,10,FALSE)*(1+P20)*(1+(R20/9)),IF(AND(E20='2. AWARDS'!G$7,O20=MAX(N20,Q20),VLOOKUP(F20,'2. AWARDS'!$C$9:$O$35,10,FALSE)=0),X20*(1+P20)*(1+(R20/9)),IF(AND(E20='2. AWARDS'!H$7,O20=MAX(N20,Q20),VLOOKUP(F20,'2. AWARDS'!$C$9:$O$35,11,FALSE)&lt;&gt;0),VLOOKUP(F20,'2. AWARDS'!$C$9:$O$35,11,FALSE)*(1+P20)*(1+(R20/9)),IF(AND(E20='2. AWARDS'!H$7,O20=MAX(N20,Q20),VLOOKUP(F20,'2. AWARDS'!$C$9:$O$35,11,FALSE)=0),X20*(1+P20)*(1+(R20/9)),IF(AND(E20='2. AWARDS'!I$7,O20=MAX(N20,Q20),VLOOKUP(F20,'2. AWARDS'!$C$9:$O$35,12,FALSE)&lt;&gt;0),VLOOKUP(F20,'2. AWARDS'!$C$9:$O$35,12,FALSE)*(1+P20)*(1+(R20/9)),IF(AND(E20='2. AWARDS'!I$7,O20=MAX(N20,Q20),VLOOKUP(F20,'2. AWARDS'!$C$9:$O$35,12,FALSE)=0),X20*(1+P20)*(1+(R20/9)),IF(AND(E20='2. AWARDS'!J$7,O20=MAX(N20,Q20),VLOOKUP(F20,'2. AWARDS'!$C$9:$O$35,13,FALSE)&lt;&gt;0),VLOOKUP(F20,'2. AWARDS'!$C$9:$O$35,13,FALSE)*(1+P20)*(1+(R20/9)),IF(AND(E20='2. AWARDS'!J$7,O20=MAX(N20,Q20),VLOOKUP(F20,'2. AWARDS'!$C$9:$O$35,13,FALSE)=0),X20*(1+P20)*(1+(R20/9)),IF(AND(O20&lt;N20,O20&lt;Q20),X20*(1+P20),IF(AND(O20=N20,N20&lt;Q20,E20='2. AWARDS'!F$7),VLOOKUP(F20,'2. AWARDS'!$C$9:$O$35,9,FALSE)*(1+P20),IF(AND(O20=N20,N20&lt;Q20,E20='2. AWARDS'!G$7),VLOOKUP(F20,'2. AWARDS'!$C$9:$O$35,10,FALSE)*(1+P20),IF(AND(O20=N20,N20&lt;Q20,E20='2. AWARDS'!H$7),VLOOKUP(F20,'2. AWARDS'!$C$9:$O$35,11,FALSE)*(1+P20),IF(AND(O20=N20,N20&lt;Q20,E20='2. AWARDS'!I$7),VLOOKUP(F20,'2. AWARDS'!$C$9:$O$35,12,FALSE)*(1+P20),IF(AND(O20=N20,N20&lt;Q20,E20='2. AWARDS'!J$7),VLOOKUP(F20,'2. AWARDS'!$C$9:$O$35,13,FALSE)*(1+P20),IF(AND(O20=Q20,N20&gt;Q20),X20*(1+P20)*(1+(R20/9)),IF(AND(E20='2. AWARDS'!F$7,O20&gt;N20,O20&lt;Q20,VLOOKUP(F20,'2. AWARDS'!$C$9:$O$35,9,FALSE)&lt;&gt;0),VLOOKUP(F20,'2. AWARDS'!$C$9:$O$35,9,FALSE)*(1+P20),IF(AND(E20='2. AWARDS'!G$7,O20&gt;N20,O20&lt;Q20,VLOOKUP(F20,'2. AWARDS'!$C$9:$O$35,10,FALSE)&lt;&gt;0),VLOOKUP(F20,'2. AWARDS'!$C$9:$O$35,10,FALSE)*(1+P20),IF(AND(E20='2. AWARDS'!H$7,O20&gt;N20,O20&lt;Q20,VLOOKUP(F20,'2. AWARDS'!$C$9:$O$35,11,FALSE)&lt;&gt;0),VLOOKUP(F20,'2. AWARDS'!$C$9:$O$35,11,FALSE)*(1+P20),IF(AND(E20='2. AWARDS'!I$7,O20&gt;N20,O20&lt;Q20,VLOOKUP(F20,'2. AWARDS'!$C$9:$O$35,12,FALSE)&lt;&gt;0),VLOOKUP(F20,'2. AWARDS'!$C$9:$O$35,12,FALSE)*(1+P20),IF(AND(E20='2. AWARDS'!J$7,O20&gt;N20,O20&lt;Q20,VLOOKUP(F20,'2. AWARDS'!$C$9:$O$35,13,FALSE)&lt;&gt;0),VLOOKUP(F20,'2. AWARDS'!$C$9:$O$35,13,FALSE)*(1+P20),X20*(1+P20))))))))))))))))))))))))))))))))))</f>
        <v>#N/A</v>
      </c>
      <c r="AA20" s="661" t="e">
        <f t="shared" si="2"/>
        <v>#N/A</v>
      </c>
      <c r="AB20" s="683"/>
      <c r="AC20" s="774"/>
      <c r="AD20" s="774"/>
      <c r="AE20" s="774"/>
      <c r="AF20" s="781">
        <f t="shared" si="9"/>
        <v>0</v>
      </c>
      <c r="AG20" s="781" t="e">
        <f>HLOOKUP(E20,'2. AWARDS'!$F$7:$J$40,32,FALSE)/5*HLOOKUP(E20,'2. AWARDS'!$F$7:$J$40,31,FALSE)*MAX(W20:AA20)*M20*HLOOKUP(E20,'2. AWARDS'!$F$7:$J$40,34,FALSE)*L20/(38*2)</f>
        <v>#N/A</v>
      </c>
      <c r="AH20" s="783" t="e">
        <f>((HLOOKUP(E20,'2. AWARDS'!$F$7:$J$42,36,FALSE)/HLOOKUP(E20,'2. AWARDS'!$F$7:$J$42,35,FALSE)*HLOOKUP(E20,'2. AWARDS'!$F$7:$J$45,39,FALSE))/(HLOOKUP(E20,'2. AWARDS'!$F$7:$J$45,31,FALSE)*2)*L20*M20*HLOOKUP(E20,'2. AWARDS'!$F$7:$J$45,31,FALSE)*MAX(W20:AA20))</f>
        <v>#N/A</v>
      </c>
      <c r="AI20" s="474"/>
      <c r="AJ20" s="804"/>
      <c r="AK20" s="801"/>
      <c r="AL20" s="801"/>
      <c r="AM20" s="802"/>
      <c r="AN20" s="805"/>
      <c r="AO20" s="836">
        <f>IF(AJ20="YES",HLOOKUP(E20,'2. AWARDS'!$F$7:$J$38,32,FALSE)/5*HLOOKUP(E20,'2. AWARDS'!$F$7:$J$37,31,FALSE)*L20/(HLOOKUP(E20,'2. AWARDS'!$F$7:$J$37,31,FALSE)*2)*M20*MAX(W20:AA20)*(1+HLOOKUP(E20,'2. AWARDS'!$F$7:$J$43,37,FALSE))*(1-AM20),0)</f>
        <v>0</v>
      </c>
      <c r="AP20" s="836">
        <f>IF(AK20="YES",HLOOKUP(E20,'2. AWARDS'!$F$7:$J$39,33,FALSE)/5*HLOOKUP(E20,'2. AWARDS'!$F$7:$J$37,31,FALSE)*L20/(HLOOKUP(E20,'2. AWARDS'!$F$7:$J$37,31,FALSE)*2)*M20*MAX(W20:AA20)*(1+HLOOKUP(E20,'2. AWARDS'!$F$7:$J$43,37,FALSE))*(1-AM20),0)</f>
        <v>0</v>
      </c>
      <c r="AQ20" s="838">
        <f>IF(AL20="YES",HLOOKUP(E20,'2. AWARDS'!$F$7:$J$47,40,FALSE)/5*HLOOKUP(E20,'2. AWARDS'!$F$7:$J$37,31,FALSE)*L20/(HLOOKUP(E20,'2. AWARDS'!$F$7:$J$37,31,FALSE)*2)*M20*MAX(W20:AA20)*(1+HLOOKUP(E20,'2. AWARDS'!$F$7:$J$43,37,FALSE))*(1-AM20),0)</f>
        <v>0</v>
      </c>
      <c r="AR20" s="839">
        <f>(IF(AJ20="YES",HLOOKUP(E20,'2. AWARDS'!$F$7:$J$39,32,FALSE),0)+IF(AK20="YES",HLOOKUP(E20,'2. AWARDS'!$F$7:$J$39,33,FALSE),0)+IF(AL20="YES",HLOOKUP(E20,'2. AWARDS'!$F$7:$J$47,40,FALSE),0))*L20/76*7.6*AM20*AN20*M20</f>
        <v>0</v>
      </c>
      <c r="AS20" s="683"/>
      <c r="AT20" s="215">
        <f>'1. KEY DATA'!J$29</f>
        <v>0</v>
      </c>
      <c r="AU20" s="218">
        <f>'1. KEY DATA'!J$30</f>
        <v>0.09</v>
      </c>
      <c r="AV20" s="502"/>
      <c r="AW20" s="1104">
        <f t="shared" si="3"/>
        <v>0</v>
      </c>
      <c r="AX20" s="176"/>
      <c r="AY20" s="173"/>
      <c r="AZ20" s="452">
        <f t="shared" si="4"/>
        <v>0</v>
      </c>
      <c r="BA20" s="405" t="str">
        <f t="shared" si="0"/>
        <v>-</v>
      </c>
      <c r="BB20" s="406" t="str">
        <f t="shared" si="0"/>
        <v>-</v>
      </c>
      <c r="BC20" s="406" t="str">
        <f t="shared" si="0"/>
        <v>-</v>
      </c>
      <c r="BD20" s="406" t="str">
        <f t="shared" si="0"/>
        <v>-</v>
      </c>
      <c r="BE20" s="406" t="str">
        <f t="shared" si="0"/>
        <v>-</v>
      </c>
      <c r="BF20" s="406" t="str">
        <f t="shared" si="0"/>
        <v>-</v>
      </c>
      <c r="BG20" s="406" t="str">
        <f t="shared" si="0"/>
        <v>-</v>
      </c>
      <c r="BH20" s="406" t="str">
        <f t="shared" si="0"/>
        <v>-</v>
      </c>
      <c r="BI20" s="406" t="str">
        <f t="shared" si="0"/>
        <v>-</v>
      </c>
      <c r="BJ20" s="406" t="str">
        <f t="shared" si="0"/>
        <v>-</v>
      </c>
      <c r="BK20" s="406" t="str">
        <f t="shared" si="0"/>
        <v>-</v>
      </c>
      <c r="BL20" s="406" t="str">
        <f t="shared" si="0"/>
        <v>-</v>
      </c>
      <c r="BM20" s="406" t="str">
        <f t="shared" si="0"/>
        <v>-</v>
      </c>
      <c r="BN20" s="406" t="str">
        <f t="shared" si="0"/>
        <v>-</v>
      </c>
      <c r="BO20" s="407" t="str">
        <f t="shared" si="0"/>
        <v>-</v>
      </c>
      <c r="BP20" s="1539"/>
    </row>
    <row r="21" spans="2:68" s="9" customFormat="1">
      <c r="B21" s="505"/>
      <c r="C21" s="80"/>
      <c r="D21" s="699">
        <f t="shared" si="1"/>
        <v>0</v>
      </c>
      <c r="E21" s="626"/>
      <c r="F21" s="652"/>
      <c r="G21" s="702"/>
      <c r="H21" s="693"/>
      <c r="I21" s="694"/>
      <c r="J21" s="1113"/>
      <c r="K21" s="1114"/>
      <c r="L21" s="763"/>
      <c r="M21" s="689"/>
      <c r="N21" s="629"/>
      <c r="O21" s="629"/>
      <c r="P21" s="638">
        <f t="shared" si="6"/>
        <v>0.03</v>
      </c>
      <c r="Q21" s="629"/>
      <c r="R21" s="673" t="str">
        <f t="shared" si="7"/>
        <v>-</v>
      </c>
      <c r="S21" s="649"/>
      <c r="T21" s="647"/>
      <c r="U21" s="827"/>
      <c r="V21" s="670"/>
      <c r="W21" s="798">
        <f t="shared" si="8"/>
        <v>0</v>
      </c>
      <c r="X21" s="656">
        <f>IF(OR(E21=0,F21=0),0,IF(E21='2. AWARDS'!F$7,VLOOKUP(F21,'2. AWARDS'!$C$9:$F$35,4,FALSE),IF(E21='2. AWARDS'!G$7,VLOOKUP(F21,'2. AWARDS'!$C$9:$G$35,5,FALSE),IF(E21='2. AWARDS'!H$7,VLOOKUP(F21,'2. AWARDS'!$C$9:$H$35,6,FALSE),IF(E21='2. AWARDS'!I$7,VLOOKUP(F21,'2. AWARDS'!$C$9:$I$35,7,FALSE),VLOOKUP(F21,'2. AWARDS'!$C$9:$J$35,8,FALSE))))))</f>
        <v>0</v>
      </c>
      <c r="Y21" s="657">
        <f>IF(OR(E21=0,F21=0),0,IF(AND(N21=0,E21='2. AWARDS'!F$7,VLOOKUP(F21,'2. AWARDS'!$C$9:$O$35,9,FALSE)&lt;&gt;0),"date missing",IF(AND(N21=0,E21='2. AWARDS'!G$7,VLOOKUP(F21,'2. AWARDS'!$C$9:$O$35,10,FALSE)&lt;&gt;0),"date missing",IF(AND(N21=0,E21='2. AWARDS'!H$7,VLOOKUP(F21,'2. AWARDS'!$C$9:$O$35,11,FALSE)&lt;&gt;0),"date missing",IF(AND(N21=0,E21='2. AWARDS'!I$7,VLOOKUP(F21,'2. AWARDS'!$C$9:$O$35,12,FALSE)&lt;&gt;0),"date missing",IF(AND(N21=0,E21='2. AWARDS'!J$7,VLOOKUP(F21,'2. AWARDS'!$C$9:$O$35,13,FALSE)&lt;&gt;0),"date missing",IF(N21=0,0,IF(OR(N21=MIN(O21,Q21),AND(N21&lt;O21,N21&lt;Q21,N21&gt;0)),IF(E21='2. AWARDS'!F$7,VLOOKUP(F21,'2. AWARDS'!$C$9:$O$35,9,FALSE),IF(E21='2. AWARDS'!G$7,VLOOKUP(F21,'2. AWARDS'!$C$9:$O$35,10,FALSE),IF(E21='2. AWARDS'!H$7,VLOOKUP(F21,'2. AWARDS'!$C$9:$O$35,11,FALSE),IF(E21='2. AWARDS'!I$7,VLOOKUP(F21,'2. AWARDS'!$C$9:$O$35,12,FALSE),IF(E21='2. AWARDS'!J$7,VLOOKUP(F21,'2. AWARDS'!$C$9:$O$35,13,FALSE)))))),IF(AND(N21&gt;O21,N21&lt;Q21),IF(E21='2. AWARDS'!F$7,(1+P21)*VLOOKUP(F21,'2. AWARDS'!$C$9:$O$35,9,FALSE),IF(E21='2. AWARDS'!G$7,(1+P21)*VLOOKUP(F21,'2. AWARDS'!$C$9:$O$35,10,FALSE),IF(E21='2. AWARDS'!H$7,(1+P21)*VLOOKUP(F21,'2. AWARDS'!$C$9:$O$35,11,FALSE),IF(E21='2. AWARDS'!I$7,(1+P21)*VLOOKUP(F21,'2. AWARDS'!$C$9:$O$35,12,FALSE),IF(E21='2. AWARDS'!J$7,(1+P21)*VLOOKUP(F21,'2. AWARDS'!$C$9:$O$35,13,FALSE)))))),IF(AND(N21&lt;O21,N21&gt;Q21),IF(E21='2. AWARDS'!F$7,(1+(R21/9))*VLOOKUP(F21,'2. AWARDS'!$C$9:$O$35,9,FALSE),IF(E21='2. AWARDS'!G$7,(1+(R21/9))*VLOOKUP(F21,'2. AWARDS'!$C$9:$O$35,10,FALSE),IF(E21='2. AWARDS'!H$7,(1+(R21/9))*VLOOKUP(F21,'2. AWARDS'!$C$9:$O$35,11,FALSE),IF(E21='2. AWARDS'!I$7,(1+(R21/9))*VLOOKUP(F21,'2. AWARDS'!$C$9:$O$35,12,FALSE),IF(E21='2. AWARDS'!J$7,(1+(R21/9))*VLOOKUP(F21,'2. AWARDS'!$C$9:$O$35,13,FALSE)))))),IF(OR(N21=MAX(O21,Q21),AND(N21&gt;O21,N21&gt;Q21)),IF(E21='2. AWARDS'!F$7,((1+(R21/9))*(1+P21))*VLOOKUP(F21,'2. AWARDS'!$C$9:$O$35,9,FALSE),IF(E21='2. AWARDS'!G$7,((1+(R21/9))*(1+P21))*VLOOKUP(F21,'2. AWARDS'!$C$9:$O$35,10,FALSE),IF(E21='2. AWARDS'!H$7,((1+(R21/9))*(1+P21))*VLOOKUP(F21,'2. AWARDS'!$C$9:$O$35,11,FALSE),IF(E21='2. AWARDS'!I$7,((1+(R21/9))*(1+P21))*VLOOKUP(F21,'2. AWARDS'!$C$9:$O$35,12,FALSE),IF(E21='2. AWARDS'!J$7,((1+(R21/9))*(1+P21))*VLOOKUP(F21,'2. AWARDS'!$C$9:$O$35,13,FALSE)))))),"?")))))))))))</f>
        <v>0</v>
      </c>
      <c r="Z21" s="656" t="e">
        <f>IF(AND(E21='2. AWARDS'!F$7,O21&gt;N21,O21&gt;Q21,VLOOKUP(F21,'2. AWARDS'!$C$9:$O$35,9,FALSE)&lt;&gt;0),VLOOKUP(F21,'2. AWARDS'!$C$9:$O$35,9,FALSE)*(1+P21)*(1+(R21/9)),IF(AND(E21='2. AWARDS'!F$7,O21&gt;N21,O21&gt;Q21,VLOOKUP(F21,'2. AWARDS'!$C$9:$O$35,9,FALSE)=0),X21*(1+P21)*(1+(R21/9)),IF(AND(E21='2. AWARDS'!G$7,O21&gt;N21,O21&gt;Q21,VLOOKUP(F21,'2. AWARDS'!$C$9:$O$35,10,FALSE)&lt;&gt;0),VLOOKUP(F21,'2. AWARDS'!$C$9:$O$35,10,FALSE)*(1+P21)*(1+(R21/9)),IF(AND(E21='2. AWARDS'!G$7,O21&gt;N21,O21&gt;Q21,VLOOKUP(F21,'2. AWARDS'!$C$9:$O$35,10,FALSE)=0),X21*(1+P21)*(1+(R21/9)),IF(AND(E21='2. AWARDS'!H$7,O21&gt;N21,O21&gt;Q21,VLOOKUP(F21,'2. AWARDS'!$C$9:$O$35,11,FALSE)&lt;&gt;0),VLOOKUP(F21,'2. AWARDS'!$C$9:$O$35,11,FALSE)*(1+P21)*(1+(R21/9)),IF(AND(E21='2. AWARDS'!H$7,O21&gt;N21,O21&gt;Q21,VLOOKUP(F21,'2. AWARDS'!$C$9:$O$35,11,FALSE)=0),X21*(1+P21)*(1+(R21/9)),IF(AND(E21='2. AWARDS'!I$7,O21&gt;N21,O21&gt;Q21,VLOOKUP(F21,'2. AWARDS'!$C$9:$O$35,12,FALSE)&lt;&gt;0),VLOOKUP(F21,'2. AWARDS'!$C$9:$O$35,12,FALSE)*(1+P21)*(1+(R21/9)),IF(AND(E21='2. AWARDS'!I$7,O21&gt;N21,O21&gt;Q21,VLOOKUP(F21,'2. AWARDS'!$C$9:$O$35,12,FALSE)=0),X21*(1+P21)*(1+(R21/9)),IF(AND(E21='2. AWARDS'!J$7,O21&gt;N21,O21&gt;Q21,VLOOKUP(F21,'2. AWARDS'!$C$9:$O$35,13,FALSE)&lt;&gt;0),VLOOKUP(F21,'2. AWARDS'!$C$9:$O$35,13,FALSE)*(1+P21)*(1+(R21/9)),IF(AND(E21='2. AWARDS'!J$7,O21&gt;N21,O21&gt;Q21,VLOOKUP(F21,'2. AWARDS'!$C$9:$O$35,13,FALSE)=0),X21*(1+P21)*(1+(R21/9)),IF(AND(O21&lt;N21,O21&gt;Q21),X21*(1+P21)*(1+(R21/9)),IF(AND(E21='2. AWARDS'!F$7,O21=MAX(N21,Q21),VLOOKUP(F21,'2. AWARDS'!$C$9:$O$35,9,FALSE)&lt;&gt;0),VLOOKUP(F21,'2. AWARDS'!$C$9:$O$35,9,FALSE)*(1+P21)*(1+(R21/9)),IF(AND(E21='2. AWARDS'!F$7,O21=MAX(N21,Q21),VLOOKUP(F21,'2. AWARDS'!$C$9:$O$35,9,FALSE)=0),X21*(1+P21)*(1+(R21/9)),IF(AND(E21='2. AWARDS'!G$7,O21=MAX(N21,Q21),VLOOKUP(F21,'2. AWARDS'!$C$9:$O$35,10,FALSE)&lt;&gt;0),VLOOKUP(F21,'2. AWARDS'!$C$9:$O$35,10,FALSE)*(1+P21)*(1+(R21/9)),IF(AND(E21='2. AWARDS'!G$7,O21=MAX(N21,Q21),VLOOKUP(F21,'2. AWARDS'!$C$9:$O$35,10,FALSE)=0),X21*(1+P21)*(1+(R21/9)),IF(AND(E21='2. AWARDS'!H$7,O21=MAX(N21,Q21),VLOOKUP(F21,'2. AWARDS'!$C$9:$O$35,11,FALSE)&lt;&gt;0),VLOOKUP(F21,'2. AWARDS'!$C$9:$O$35,11,FALSE)*(1+P21)*(1+(R21/9)),IF(AND(E21='2. AWARDS'!H$7,O21=MAX(N21,Q21),VLOOKUP(F21,'2. AWARDS'!$C$9:$O$35,11,FALSE)=0),X21*(1+P21)*(1+(R21/9)),IF(AND(E21='2. AWARDS'!I$7,O21=MAX(N21,Q21),VLOOKUP(F21,'2. AWARDS'!$C$9:$O$35,12,FALSE)&lt;&gt;0),VLOOKUP(F21,'2. AWARDS'!$C$9:$O$35,12,FALSE)*(1+P21)*(1+(R21/9)),IF(AND(E21='2. AWARDS'!I$7,O21=MAX(N21,Q21),VLOOKUP(F21,'2. AWARDS'!$C$9:$O$35,12,FALSE)=0),X21*(1+P21)*(1+(R21/9)),IF(AND(E21='2. AWARDS'!J$7,O21=MAX(N21,Q21),VLOOKUP(F21,'2. AWARDS'!$C$9:$O$35,13,FALSE)&lt;&gt;0),VLOOKUP(F21,'2. AWARDS'!$C$9:$O$35,13,FALSE)*(1+P21)*(1+(R21/9)),IF(AND(E21='2. AWARDS'!J$7,O21=MAX(N21,Q21),VLOOKUP(F21,'2. AWARDS'!$C$9:$O$35,13,FALSE)=0),X21*(1+P21)*(1+(R21/9)),IF(AND(O21&lt;N21,O21&lt;Q21),X21*(1+P21),IF(AND(O21=N21,N21&lt;Q21,E21='2. AWARDS'!F$7),VLOOKUP(F21,'2. AWARDS'!$C$9:$O$35,9,FALSE)*(1+P21),IF(AND(O21=N21,N21&lt;Q21,E21='2. AWARDS'!G$7),VLOOKUP(F21,'2. AWARDS'!$C$9:$O$35,10,FALSE)*(1+P21),IF(AND(O21=N21,N21&lt;Q21,E21='2. AWARDS'!H$7),VLOOKUP(F21,'2. AWARDS'!$C$9:$O$35,11,FALSE)*(1+P21),IF(AND(O21=N21,N21&lt;Q21,E21='2. AWARDS'!I$7),VLOOKUP(F21,'2. AWARDS'!$C$9:$O$35,12,FALSE)*(1+P21),IF(AND(O21=N21,N21&lt;Q21,E21='2. AWARDS'!J$7),VLOOKUP(F21,'2. AWARDS'!$C$9:$O$35,13,FALSE)*(1+P21),IF(AND(O21=Q21,N21&gt;Q21),X21*(1+P21)*(1+(R21/9)),IF(AND(E21='2. AWARDS'!F$7,O21&gt;N21,O21&lt;Q21,VLOOKUP(F21,'2. AWARDS'!$C$9:$O$35,9,FALSE)&lt;&gt;0),VLOOKUP(F21,'2. AWARDS'!$C$9:$O$35,9,FALSE)*(1+P21),IF(AND(E21='2. AWARDS'!G$7,O21&gt;N21,O21&lt;Q21,VLOOKUP(F21,'2. AWARDS'!$C$9:$O$35,10,FALSE)&lt;&gt;0),VLOOKUP(F21,'2. AWARDS'!$C$9:$O$35,10,FALSE)*(1+P21),IF(AND(E21='2. AWARDS'!H$7,O21&gt;N21,O21&lt;Q21,VLOOKUP(F21,'2. AWARDS'!$C$9:$O$35,11,FALSE)&lt;&gt;0),VLOOKUP(F21,'2. AWARDS'!$C$9:$O$35,11,FALSE)*(1+P21),IF(AND(E21='2. AWARDS'!I$7,O21&gt;N21,O21&lt;Q21,VLOOKUP(F21,'2. AWARDS'!$C$9:$O$35,12,FALSE)&lt;&gt;0),VLOOKUP(F21,'2. AWARDS'!$C$9:$O$35,12,FALSE)*(1+P21),IF(AND(E21='2. AWARDS'!J$7,O21&gt;N21,O21&lt;Q21,VLOOKUP(F21,'2. AWARDS'!$C$9:$O$35,13,FALSE)&lt;&gt;0),VLOOKUP(F21,'2. AWARDS'!$C$9:$O$35,13,FALSE)*(1+P21),X21*(1+P21))))))))))))))))))))))))))))))))))</f>
        <v>#N/A</v>
      </c>
      <c r="AA21" s="661" t="e">
        <f t="shared" si="2"/>
        <v>#N/A</v>
      </c>
      <c r="AB21" s="683"/>
      <c r="AC21" s="774"/>
      <c r="AD21" s="774"/>
      <c r="AE21" s="774"/>
      <c r="AF21" s="781">
        <f t="shared" si="9"/>
        <v>0</v>
      </c>
      <c r="AG21" s="781" t="e">
        <f>HLOOKUP(E21,'2. AWARDS'!$F$7:$J$40,32,FALSE)/5*HLOOKUP(E21,'2. AWARDS'!$F$7:$J$40,31,FALSE)*MAX(W21:AA21)*M21*HLOOKUP(E21,'2. AWARDS'!$F$7:$J$40,34,FALSE)*L21/(38*2)</f>
        <v>#N/A</v>
      </c>
      <c r="AH21" s="783" t="e">
        <f>((HLOOKUP(E21,'2. AWARDS'!$F$7:$J$42,36,FALSE)/HLOOKUP(E21,'2. AWARDS'!$F$7:$J$42,35,FALSE)*HLOOKUP(E21,'2. AWARDS'!$F$7:$J$45,39,FALSE))/(HLOOKUP(E21,'2. AWARDS'!$F$7:$J$45,31,FALSE)*2)*L21*M21*HLOOKUP(E21,'2. AWARDS'!$F$7:$J$45,31,FALSE)*MAX(W21:AA21))</f>
        <v>#N/A</v>
      </c>
      <c r="AI21" s="474"/>
      <c r="AJ21" s="804"/>
      <c r="AK21" s="801"/>
      <c r="AL21" s="801"/>
      <c r="AM21" s="802"/>
      <c r="AN21" s="805"/>
      <c r="AO21" s="836">
        <f>IF(AJ21="YES",HLOOKUP(E21,'2. AWARDS'!$F$7:$J$38,32,FALSE)/5*HLOOKUP(E21,'2. AWARDS'!$F$7:$J$37,31,FALSE)*L21/(HLOOKUP(E21,'2. AWARDS'!$F$7:$J$37,31,FALSE)*2)*M21*MAX(W21:AA21)*(1+HLOOKUP(E21,'2. AWARDS'!$F$7:$J$43,37,FALSE))*(1-AM21),0)</f>
        <v>0</v>
      </c>
      <c r="AP21" s="836">
        <f>IF(AK21="YES",HLOOKUP(E21,'2. AWARDS'!$F$7:$J$39,33,FALSE)/5*HLOOKUP(E21,'2. AWARDS'!$F$7:$J$37,31,FALSE)*L21/(HLOOKUP(E21,'2. AWARDS'!$F$7:$J$37,31,FALSE)*2)*M21*MAX(W21:AA21)*(1+HLOOKUP(E21,'2. AWARDS'!$F$7:$J$43,37,FALSE))*(1-AM21),0)</f>
        <v>0</v>
      </c>
      <c r="AQ21" s="838">
        <f>IF(AL21="YES",HLOOKUP(E21,'2. AWARDS'!$F$7:$J$47,40,FALSE)/5*HLOOKUP(E21,'2. AWARDS'!$F$7:$J$37,31,FALSE)*L21/(HLOOKUP(E21,'2. AWARDS'!$F$7:$J$37,31,FALSE)*2)*M21*MAX(W21:AA21)*(1+HLOOKUP(E21,'2. AWARDS'!$F$7:$J$43,37,FALSE))*(1-AM21),0)</f>
        <v>0</v>
      </c>
      <c r="AR21" s="839">
        <f>(IF(AJ21="YES",HLOOKUP(E21,'2. AWARDS'!$F$7:$J$39,32,FALSE),0)+IF(AK21="YES",HLOOKUP(E21,'2. AWARDS'!$F$7:$J$39,33,FALSE),0)+IF(AL21="YES",HLOOKUP(E21,'2. AWARDS'!$F$7:$J$47,40,FALSE),0))*L21/76*7.6*AM21*AN21*M21</f>
        <v>0</v>
      </c>
      <c r="AS21" s="683"/>
      <c r="AT21" s="215">
        <f>'1. KEY DATA'!J$29</f>
        <v>0</v>
      </c>
      <c r="AU21" s="218">
        <f>'1. KEY DATA'!J$30</f>
        <v>0.09</v>
      </c>
      <c r="AV21" s="502"/>
      <c r="AW21" s="1104">
        <f t="shared" si="3"/>
        <v>0</v>
      </c>
      <c r="AX21" s="176"/>
      <c r="AY21" s="173"/>
      <c r="AZ21" s="452">
        <f t="shared" si="4"/>
        <v>0</v>
      </c>
      <c r="BA21" s="405" t="str">
        <f t="shared" si="0"/>
        <v>-</v>
      </c>
      <c r="BB21" s="406" t="str">
        <f t="shared" si="0"/>
        <v>-</v>
      </c>
      <c r="BC21" s="406" t="str">
        <f t="shared" si="0"/>
        <v>-</v>
      </c>
      <c r="BD21" s="406" t="str">
        <f t="shared" si="0"/>
        <v>-</v>
      </c>
      <c r="BE21" s="406" t="str">
        <f t="shared" si="0"/>
        <v>-</v>
      </c>
      <c r="BF21" s="406" t="str">
        <f t="shared" si="0"/>
        <v>-</v>
      </c>
      <c r="BG21" s="406" t="str">
        <f t="shared" si="0"/>
        <v>-</v>
      </c>
      <c r="BH21" s="406" t="str">
        <f t="shared" si="0"/>
        <v>-</v>
      </c>
      <c r="BI21" s="406" t="str">
        <f t="shared" si="0"/>
        <v>-</v>
      </c>
      <c r="BJ21" s="406" t="str">
        <f t="shared" si="0"/>
        <v>-</v>
      </c>
      <c r="BK21" s="406" t="str">
        <f t="shared" si="0"/>
        <v>-</v>
      </c>
      <c r="BL21" s="406" t="str">
        <f t="shared" si="0"/>
        <v>-</v>
      </c>
      <c r="BM21" s="406" t="str">
        <f t="shared" si="0"/>
        <v>-</v>
      </c>
      <c r="BN21" s="406" t="str">
        <f t="shared" si="0"/>
        <v>-</v>
      </c>
      <c r="BO21" s="407" t="str">
        <f t="shared" si="0"/>
        <v>-</v>
      </c>
      <c r="BP21" s="1539"/>
    </row>
    <row r="22" spans="2:68" s="9" customFormat="1">
      <c r="B22" s="505"/>
      <c r="C22" s="80"/>
      <c r="D22" s="699">
        <f t="shared" si="1"/>
        <v>0</v>
      </c>
      <c r="E22" s="626"/>
      <c r="F22" s="652"/>
      <c r="G22" s="702"/>
      <c r="H22" s="693"/>
      <c r="I22" s="694"/>
      <c r="J22" s="1113"/>
      <c r="K22" s="1114"/>
      <c r="L22" s="763"/>
      <c r="M22" s="689"/>
      <c r="N22" s="629"/>
      <c r="O22" s="629"/>
      <c r="P22" s="638">
        <f t="shared" si="6"/>
        <v>0.03</v>
      </c>
      <c r="Q22" s="629"/>
      <c r="R22" s="673" t="str">
        <f t="shared" si="7"/>
        <v>-</v>
      </c>
      <c r="S22" s="649"/>
      <c r="T22" s="647"/>
      <c r="U22" s="827"/>
      <c r="V22" s="670"/>
      <c r="W22" s="798">
        <f t="shared" si="8"/>
        <v>0</v>
      </c>
      <c r="X22" s="656">
        <f>IF(OR(E22=0,F22=0),0,IF(E22='2. AWARDS'!F$7,VLOOKUP(F22,'2. AWARDS'!$C$9:$F$35,4,FALSE),IF(E22='2. AWARDS'!G$7,VLOOKUP(F22,'2. AWARDS'!$C$9:$G$35,5,FALSE),IF(E22='2. AWARDS'!H$7,VLOOKUP(F22,'2. AWARDS'!$C$9:$H$35,6,FALSE),IF(E22='2. AWARDS'!I$7,VLOOKUP(F22,'2. AWARDS'!$C$9:$I$35,7,FALSE),VLOOKUP(F22,'2. AWARDS'!$C$9:$J$35,8,FALSE))))))</f>
        <v>0</v>
      </c>
      <c r="Y22" s="657">
        <f>IF(OR(E22=0,F22=0),0,IF(AND(N22=0,E22='2. AWARDS'!F$7,VLOOKUP(F22,'2. AWARDS'!$C$9:$O$35,9,FALSE)&lt;&gt;0),"date missing",IF(AND(N22=0,E22='2. AWARDS'!G$7,VLOOKUP(F22,'2. AWARDS'!$C$9:$O$35,10,FALSE)&lt;&gt;0),"date missing",IF(AND(N22=0,E22='2. AWARDS'!H$7,VLOOKUP(F22,'2. AWARDS'!$C$9:$O$35,11,FALSE)&lt;&gt;0),"date missing",IF(AND(N22=0,E22='2. AWARDS'!I$7,VLOOKUP(F22,'2. AWARDS'!$C$9:$O$35,12,FALSE)&lt;&gt;0),"date missing",IF(AND(N22=0,E22='2. AWARDS'!J$7,VLOOKUP(F22,'2. AWARDS'!$C$9:$O$35,13,FALSE)&lt;&gt;0),"date missing",IF(N22=0,0,IF(OR(N22=MIN(O22,Q22),AND(N22&lt;O22,N22&lt;Q22,N22&gt;0)),IF(E22='2. AWARDS'!F$7,VLOOKUP(F22,'2. AWARDS'!$C$9:$O$35,9,FALSE),IF(E22='2. AWARDS'!G$7,VLOOKUP(F22,'2. AWARDS'!$C$9:$O$35,10,FALSE),IF(E22='2. AWARDS'!H$7,VLOOKUP(F22,'2. AWARDS'!$C$9:$O$35,11,FALSE),IF(E22='2. AWARDS'!I$7,VLOOKUP(F22,'2. AWARDS'!$C$9:$O$35,12,FALSE),IF(E22='2. AWARDS'!J$7,VLOOKUP(F22,'2. AWARDS'!$C$9:$O$35,13,FALSE)))))),IF(AND(N22&gt;O22,N22&lt;Q22),IF(E22='2. AWARDS'!F$7,(1+P22)*VLOOKUP(F22,'2. AWARDS'!$C$9:$O$35,9,FALSE),IF(E22='2. AWARDS'!G$7,(1+P22)*VLOOKUP(F22,'2. AWARDS'!$C$9:$O$35,10,FALSE),IF(E22='2. AWARDS'!H$7,(1+P22)*VLOOKUP(F22,'2. AWARDS'!$C$9:$O$35,11,FALSE),IF(E22='2. AWARDS'!I$7,(1+P22)*VLOOKUP(F22,'2. AWARDS'!$C$9:$O$35,12,FALSE),IF(E22='2. AWARDS'!J$7,(1+P22)*VLOOKUP(F22,'2. AWARDS'!$C$9:$O$35,13,FALSE)))))),IF(AND(N22&lt;O22,N22&gt;Q22),IF(E22='2. AWARDS'!F$7,(1+(R22/9))*VLOOKUP(F22,'2. AWARDS'!$C$9:$O$35,9,FALSE),IF(E22='2. AWARDS'!G$7,(1+(R22/9))*VLOOKUP(F22,'2. AWARDS'!$C$9:$O$35,10,FALSE),IF(E22='2. AWARDS'!H$7,(1+(R22/9))*VLOOKUP(F22,'2. AWARDS'!$C$9:$O$35,11,FALSE),IF(E22='2. AWARDS'!I$7,(1+(R22/9))*VLOOKUP(F22,'2. AWARDS'!$C$9:$O$35,12,FALSE),IF(E22='2. AWARDS'!J$7,(1+(R22/9))*VLOOKUP(F22,'2. AWARDS'!$C$9:$O$35,13,FALSE)))))),IF(OR(N22=MAX(O22,Q22),AND(N22&gt;O22,N22&gt;Q22)),IF(E22='2. AWARDS'!F$7,((1+(R22/9))*(1+P22))*VLOOKUP(F22,'2. AWARDS'!$C$9:$O$35,9,FALSE),IF(E22='2. AWARDS'!G$7,((1+(R22/9))*(1+P22))*VLOOKUP(F22,'2. AWARDS'!$C$9:$O$35,10,FALSE),IF(E22='2. AWARDS'!H$7,((1+(R22/9))*(1+P22))*VLOOKUP(F22,'2. AWARDS'!$C$9:$O$35,11,FALSE),IF(E22='2. AWARDS'!I$7,((1+(R22/9))*(1+P22))*VLOOKUP(F22,'2. AWARDS'!$C$9:$O$35,12,FALSE),IF(E22='2. AWARDS'!J$7,((1+(R22/9))*(1+P22))*VLOOKUP(F22,'2. AWARDS'!$C$9:$O$35,13,FALSE)))))),"?")))))))))))</f>
        <v>0</v>
      </c>
      <c r="Z22" s="656" t="e">
        <f>IF(AND(E22='2. AWARDS'!F$7,O22&gt;N22,O22&gt;Q22,VLOOKUP(F22,'2. AWARDS'!$C$9:$O$35,9,FALSE)&lt;&gt;0),VLOOKUP(F22,'2. AWARDS'!$C$9:$O$35,9,FALSE)*(1+P22)*(1+(R22/9)),IF(AND(E22='2. AWARDS'!F$7,O22&gt;N22,O22&gt;Q22,VLOOKUP(F22,'2. AWARDS'!$C$9:$O$35,9,FALSE)=0),X22*(1+P22)*(1+(R22/9)),IF(AND(E22='2. AWARDS'!G$7,O22&gt;N22,O22&gt;Q22,VLOOKUP(F22,'2. AWARDS'!$C$9:$O$35,10,FALSE)&lt;&gt;0),VLOOKUP(F22,'2. AWARDS'!$C$9:$O$35,10,FALSE)*(1+P22)*(1+(R22/9)),IF(AND(E22='2. AWARDS'!G$7,O22&gt;N22,O22&gt;Q22,VLOOKUP(F22,'2. AWARDS'!$C$9:$O$35,10,FALSE)=0),X22*(1+P22)*(1+(R22/9)),IF(AND(E22='2. AWARDS'!H$7,O22&gt;N22,O22&gt;Q22,VLOOKUP(F22,'2. AWARDS'!$C$9:$O$35,11,FALSE)&lt;&gt;0),VLOOKUP(F22,'2. AWARDS'!$C$9:$O$35,11,FALSE)*(1+P22)*(1+(R22/9)),IF(AND(E22='2. AWARDS'!H$7,O22&gt;N22,O22&gt;Q22,VLOOKUP(F22,'2. AWARDS'!$C$9:$O$35,11,FALSE)=0),X22*(1+P22)*(1+(R22/9)),IF(AND(E22='2. AWARDS'!I$7,O22&gt;N22,O22&gt;Q22,VLOOKUP(F22,'2. AWARDS'!$C$9:$O$35,12,FALSE)&lt;&gt;0),VLOOKUP(F22,'2. AWARDS'!$C$9:$O$35,12,FALSE)*(1+P22)*(1+(R22/9)),IF(AND(E22='2. AWARDS'!I$7,O22&gt;N22,O22&gt;Q22,VLOOKUP(F22,'2. AWARDS'!$C$9:$O$35,12,FALSE)=0),X22*(1+P22)*(1+(R22/9)),IF(AND(E22='2. AWARDS'!J$7,O22&gt;N22,O22&gt;Q22,VLOOKUP(F22,'2. AWARDS'!$C$9:$O$35,13,FALSE)&lt;&gt;0),VLOOKUP(F22,'2. AWARDS'!$C$9:$O$35,13,FALSE)*(1+P22)*(1+(R22/9)),IF(AND(E22='2. AWARDS'!J$7,O22&gt;N22,O22&gt;Q22,VLOOKUP(F22,'2. AWARDS'!$C$9:$O$35,13,FALSE)=0),X22*(1+P22)*(1+(R22/9)),IF(AND(O22&lt;N22,O22&gt;Q22),X22*(1+P22)*(1+(R22/9)),IF(AND(E22='2. AWARDS'!F$7,O22=MAX(N22,Q22),VLOOKUP(F22,'2. AWARDS'!$C$9:$O$35,9,FALSE)&lt;&gt;0),VLOOKUP(F22,'2. AWARDS'!$C$9:$O$35,9,FALSE)*(1+P22)*(1+(R22/9)),IF(AND(E22='2. AWARDS'!F$7,O22=MAX(N22,Q22),VLOOKUP(F22,'2. AWARDS'!$C$9:$O$35,9,FALSE)=0),X22*(1+P22)*(1+(R22/9)),IF(AND(E22='2. AWARDS'!G$7,O22=MAX(N22,Q22),VLOOKUP(F22,'2. AWARDS'!$C$9:$O$35,10,FALSE)&lt;&gt;0),VLOOKUP(F22,'2. AWARDS'!$C$9:$O$35,10,FALSE)*(1+P22)*(1+(R22/9)),IF(AND(E22='2. AWARDS'!G$7,O22=MAX(N22,Q22),VLOOKUP(F22,'2. AWARDS'!$C$9:$O$35,10,FALSE)=0),X22*(1+P22)*(1+(R22/9)),IF(AND(E22='2. AWARDS'!H$7,O22=MAX(N22,Q22),VLOOKUP(F22,'2. AWARDS'!$C$9:$O$35,11,FALSE)&lt;&gt;0),VLOOKUP(F22,'2. AWARDS'!$C$9:$O$35,11,FALSE)*(1+P22)*(1+(R22/9)),IF(AND(E22='2. AWARDS'!H$7,O22=MAX(N22,Q22),VLOOKUP(F22,'2. AWARDS'!$C$9:$O$35,11,FALSE)=0),X22*(1+P22)*(1+(R22/9)),IF(AND(E22='2. AWARDS'!I$7,O22=MAX(N22,Q22),VLOOKUP(F22,'2. AWARDS'!$C$9:$O$35,12,FALSE)&lt;&gt;0),VLOOKUP(F22,'2. AWARDS'!$C$9:$O$35,12,FALSE)*(1+P22)*(1+(R22/9)),IF(AND(E22='2. AWARDS'!I$7,O22=MAX(N22,Q22),VLOOKUP(F22,'2. AWARDS'!$C$9:$O$35,12,FALSE)=0),X22*(1+P22)*(1+(R22/9)),IF(AND(E22='2. AWARDS'!J$7,O22=MAX(N22,Q22),VLOOKUP(F22,'2. AWARDS'!$C$9:$O$35,13,FALSE)&lt;&gt;0),VLOOKUP(F22,'2. AWARDS'!$C$9:$O$35,13,FALSE)*(1+P22)*(1+(R22/9)),IF(AND(E22='2. AWARDS'!J$7,O22=MAX(N22,Q22),VLOOKUP(F22,'2. AWARDS'!$C$9:$O$35,13,FALSE)=0),X22*(1+P22)*(1+(R22/9)),IF(AND(O22&lt;N22,O22&lt;Q22),X22*(1+P22),IF(AND(O22=N22,N22&lt;Q22,E22='2. AWARDS'!F$7),VLOOKUP(F22,'2. AWARDS'!$C$9:$O$35,9,FALSE)*(1+P22),IF(AND(O22=N22,N22&lt;Q22,E22='2. AWARDS'!G$7),VLOOKUP(F22,'2. AWARDS'!$C$9:$O$35,10,FALSE)*(1+P22),IF(AND(O22=N22,N22&lt;Q22,E22='2. AWARDS'!H$7),VLOOKUP(F22,'2. AWARDS'!$C$9:$O$35,11,FALSE)*(1+P22),IF(AND(O22=N22,N22&lt;Q22,E22='2. AWARDS'!I$7),VLOOKUP(F22,'2. AWARDS'!$C$9:$O$35,12,FALSE)*(1+P22),IF(AND(O22=N22,N22&lt;Q22,E22='2. AWARDS'!J$7),VLOOKUP(F22,'2. AWARDS'!$C$9:$O$35,13,FALSE)*(1+P22),IF(AND(O22=Q22,N22&gt;Q22),X22*(1+P22)*(1+(R22/9)),IF(AND(E22='2. AWARDS'!F$7,O22&gt;N22,O22&lt;Q22,VLOOKUP(F22,'2. AWARDS'!$C$9:$O$35,9,FALSE)&lt;&gt;0),VLOOKUP(F22,'2. AWARDS'!$C$9:$O$35,9,FALSE)*(1+P22),IF(AND(E22='2. AWARDS'!G$7,O22&gt;N22,O22&lt;Q22,VLOOKUP(F22,'2. AWARDS'!$C$9:$O$35,10,FALSE)&lt;&gt;0),VLOOKUP(F22,'2. AWARDS'!$C$9:$O$35,10,FALSE)*(1+P22),IF(AND(E22='2. AWARDS'!H$7,O22&gt;N22,O22&lt;Q22,VLOOKUP(F22,'2. AWARDS'!$C$9:$O$35,11,FALSE)&lt;&gt;0),VLOOKUP(F22,'2. AWARDS'!$C$9:$O$35,11,FALSE)*(1+P22),IF(AND(E22='2. AWARDS'!I$7,O22&gt;N22,O22&lt;Q22,VLOOKUP(F22,'2. AWARDS'!$C$9:$O$35,12,FALSE)&lt;&gt;0),VLOOKUP(F22,'2. AWARDS'!$C$9:$O$35,12,FALSE)*(1+P22),IF(AND(E22='2. AWARDS'!J$7,O22&gt;N22,O22&lt;Q22,VLOOKUP(F22,'2. AWARDS'!$C$9:$O$35,13,FALSE)&lt;&gt;0),VLOOKUP(F22,'2. AWARDS'!$C$9:$O$35,13,FALSE)*(1+P22),X22*(1+P22))))))))))))))))))))))))))))))))))</f>
        <v>#N/A</v>
      </c>
      <c r="AA22" s="661" t="e">
        <f t="shared" si="2"/>
        <v>#N/A</v>
      </c>
      <c r="AB22" s="683"/>
      <c r="AC22" s="774"/>
      <c r="AD22" s="774"/>
      <c r="AE22" s="774"/>
      <c r="AF22" s="781">
        <f t="shared" si="9"/>
        <v>0</v>
      </c>
      <c r="AG22" s="781" t="e">
        <f>HLOOKUP(E22,'2. AWARDS'!$F$7:$J$40,32,FALSE)/5*HLOOKUP(E22,'2. AWARDS'!$F$7:$J$40,31,FALSE)*MAX(W22:AA22)*M22*HLOOKUP(E22,'2. AWARDS'!$F$7:$J$40,34,FALSE)*L22/(38*2)</f>
        <v>#N/A</v>
      </c>
      <c r="AH22" s="783" t="e">
        <f>((HLOOKUP(E22,'2. AWARDS'!$F$7:$J$42,36,FALSE)/HLOOKUP(E22,'2. AWARDS'!$F$7:$J$42,35,FALSE)*HLOOKUP(E22,'2. AWARDS'!$F$7:$J$45,39,FALSE))/(HLOOKUP(E22,'2. AWARDS'!$F$7:$J$45,31,FALSE)*2)*L22*M22*HLOOKUP(E22,'2. AWARDS'!$F$7:$J$45,31,FALSE)*MAX(W22:AA22))</f>
        <v>#N/A</v>
      </c>
      <c r="AI22" s="474"/>
      <c r="AJ22" s="804"/>
      <c r="AK22" s="801"/>
      <c r="AL22" s="801"/>
      <c r="AM22" s="802"/>
      <c r="AN22" s="805"/>
      <c r="AO22" s="836">
        <f>IF(AJ22="YES",HLOOKUP(E22,'2. AWARDS'!$F$7:$J$38,32,FALSE)/5*HLOOKUP(E22,'2. AWARDS'!$F$7:$J$37,31,FALSE)*L22/(HLOOKUP(E22,'2. AWARDS'!$F$7:$J$37,31,FALSE)*2)*M22*MAX(W22:AA22)*(1+HLOOKUP(E22,'2. AWARDS'!$F$7:$J$43,37,FALSE))*(1-AM22),0)</f>
        <v>0</v>
      </c>
      <c r="AP22" s="836">
        <f>IF(AK22="YES",HLOOKUP(E22,'2. AWARDS'!$F$7:$J$39,33,FALSE)/5*HLOOKUP(E22,'2. AWARDS'!$F$7:$J$37,31,FALSE)*L22/(HLOOKUP(E22,'2. AWARDS'!$F$7:$J$37,31,FALSE)*2)*M22*MAX(W22:AA22)*(1+HLOOKUP(E22,'2. AWARDS'!$F$7:$J$43,37,FALSE))*(1-AM22),0)</f>
        <v>0</v>
      </c>
      <c r="AQ22" s="838">
        <f>IF(AL22="YES",HLOOKUP(E22,'2. AWARDS'!$F$7:$J$47,40,FALSE)/5*HLOOKUP(E22,'2. AWARDS'!$F$7:$J$37,31,FALSE)*L22/(HLOOKUP(E22,'2. AWARDS'!$F$7:$J$37,31,FALSE)*2)*M22*MAX(W22:AA22)*(1+HLOOKUP(E22,'2. AWARDS'!$F$7:$J$43,37,FALSE))*(1-AM22),0)</f>
        <v>0</v>
      </c>
      <c r="AR22" s="839">
        <f>(IF(AJ22="YES",HLOOKUP(E22,'2. AWARDS'!$F$7:$J$39,32,FALSE),0)+IF(AK22="YES",HLOOKUP(E22,'2. AWARDS'!$F$7:$J$39,33,FALSE),0)+IF(AL22="YES",HLOOKUP(E22,'2. AWARDS'!$F$7:$J$47,40,FALSE),0))*L22/76*7.6*AM22*AN22*M22</f>
        <v>0</v>
      </c>
      <c r="AS22" s="683"/>
      <c r="AT22" s="215">
        <f>'1. KEY DATA'!J$29</f>
        <v>0</v>
      </c>
      <c r="AU22" s="218">
        <f>'1. KEY DATA'!J$30</f>
        <v>0.09</v>
      </c>
      <c r="AV22" s="502"/>
      <c r="AW22" s="1104">
        <f t="shared" si="3"/>
        <v>0</v>
      </c>
      <c r="AX22" s="176"/>
      <c r="AY22" s="173"/>
      <c r="AZ22" s="452">
        <f t="shared" si="4"/>
        <v>0</v>
      </c>
      <c r="BA22" s="405" t="str">
        <f t="shared" si="0"/>
        <v>-</v>
      </c>
      <c r="BB22" s="406" t="str">
        <f t="shared" si="0"/>
        <v>-</v>
      </c>
      <c r="BC22" s="406" t="str">
        <f t="shared" si="0"/>
        <v>-</v>
      </c>
      <c r="BD22" s="406" t="str">
        <f t="shared" si="0"/>
        <v>-</v>
      </c>
      <c r="BE22" s="406" t="str">
        <f t="shared" si="0"/>
        <v>-</v>
      </c>
      <c r="BF22" s="406" t="str">
        <f t="shared" si="0"/>
        <v>-</v>
      </c>
      <c r="BG22" s="406" t="str">
        <f t="shared" si="0"/>
        <v>-</v>
      </c>
      <c r="BH22" s="406" t="str">
        <f t="shared" si="0"/>
        <v>-</v>
      </c>
      <c r="BI22" s="406" t="str">
        <f t="shared" si="0"/>
        <v>-</v>
      </c>
      <c r="BJ22" s="406" t="str">
        <f t="shared" si="0"/>
        <v>-</v>
      </c>
      <c r="BK22" s="406" t="str">
        <f t="shared" si="0"/>
        <v>-</v>
      </c>
      <c r="BL22" s="406" t="str">
        <f t="shared" si="0"/>
        <v>-</v>
      </c>
      <c r="BM22" s="406" t="str">
        <f t="shared" si="0"/>
        <v>-</v>
      </c>
      <c r="BN22" s="406" t="str">
        <f t="shared" si="0"/>
        <v>-</v>
      </c>
      <c r="BO22" s="407" t="str">
        <f t="shared" si="0"/>
        <v>-</v>
      </c>
      <c r="BP22" s="1539"/>
    </row>
    <row r="23" spans="2:68" s="9" customFormat="1">
      <c r="B23" s="505"/>
      <c r="C23" s="80"/>
      <c r="D23" s="699">
        <f t="shared" si="1"/>
        <v>0</v>
      </c>
      <c r="E23" s="626"/>
      <c r="F23" s="652"/>
      <c r="G23" s="702"/>
      <c r="H23" s="693"/>
      <c r="I23" s="694"/>
      <c r="J23" s="1113"/>
      <c r="K23" s="1114"/>
      <c r="L23" s="763"/>
      <c r="M23" s="689"/>
      <c r="N23" s="629"/>
      <c r="O23" s="629"/>
      <c r="P23" s="638">
        <f t="shared" si="6"/>
        <v>0.03</v>
      </c>
      <c r="Q23" s="629"/>
      <c r="R23" s="673" t="str">
        <f t="shared" si="7"/>
        <v>-</v>
      </c>
      <c r="S23" s="649"/>
      <c r="T23" s="647"/>
      <c r="U23" s="827"/>
      <c r="V23" s="670"/>
      <c r="W23" s="798">
        <f t="shared" si="8"/>
        <v>0</v>
      </c>
      <c r="X23" s="656">
        <f>IF(OR(E23=0,F23=0),0,IF(E23='2. AWARDS'!F$7,VLOOKUP(F23,'2. AWARDS'!$C$9:$F$35,4,FALSE),IF(E23='2. AWARDS'!G$7,VLOOKUP(F23,'2. AWARDS'!$C$9:$G$35,5,FALSE),IF(E23='2. AWARDS'!H$7,VLOOKUP(F23,'2. AWARDS'!$C$9:$H$35,6,FALSE),IF(E23='2. AWARDS'!I$7,VLOOKUP(F23,'2. AWARDS'!$C$9:$I$35,7,FALSE),VLOOKUP(F23,'2. AWARDS'!$C$9:$J$35,8,FALSE))))))</f>
        <v>0</v>
      </c>
      <c r="Y23" s="657">
        <f>IF(OR(E23=0,F23=0),0,IF(AND(N23=0,E23='2. AWARDS'!F$7,VLOOKUP(F23,'2. AWARDS'!$C$9:$O$35,9,FALSE)&lt;&gt;0),"date missing",IF(AND(N23=0,E23='2. AWARDS'!G$7,VLOOKUP(F23,'2. AWARDS'!$C$9:$O$35,10,FALSE)&lt;&gt;0),"date missing",IF(AND(N23=0,E23='2. AWARDS'!H$7,VLOOKUP(F23,'2. AWARDS'!$C$9:$O$35,11,FALSE)&lt;&gt;0),"date missing",IF(AND(N23=0,E23='2. AWARDS'!I$7,VLOOKUP(F23,'2. AWARDS'!$C$9:$O$35,12,FALSE)&lt;&gt;0),"date missing",IF(AND(N23=0,E23='2. AWARDS'!J$7,VLOOKUP(F23,'2. AWARDS'!$C$9:$O$35,13,FALSE)&lt;&gt;0),"date missing",IF(N23=0,0,IF(OR(N23=MIN(O23,Q23),AND(N23&lt;O23,N23&lt;Q23,N23&gt;0)),IF(E23='2. AWARDS'!F$7,VLOOKUP(F23,'2. AWARDS'!$C$9:$O$35,9,FALSE),IF(E23='2. AWARDS'!G$7,VLOOKUP(F23,'2. AWARDS'!$C$9:$O$35,10,FALSE),IF(E23='2. AWARDS'!H$7,VLOOKUP(F23,'2. AWARDS'!$C$9:$O$35,11,FALSE),IF(E23='2. AWARDS'!I$7,VLOOKUP(F23,'2. AWARDS'!$C$9:$O$35,12,FALSE),IF(E23='2. AWARDS'!J$7,VLOOKUP(F23,'2. AWARDS'!$C$9:$O$35,13,FALSE)))))),IF(AND(N23&gt;O23,N23&lt;Q23),IF(E23='2. AWARDS'!F$7,(1+P23)*VLOOKUP(F23,'2. AWARDS'!$C$9:$O$35,9,FALSE),IF(E23='2. AWARDS'!G$7,(1+P23)*VLOOKUP(F23,'2. AWARDS'!$C$9:$O$35,10,FALSE),IF(E23='2. AWARDS'!H$7,(1+P23)*VLOOKUP(F23,'2. AWARDS'!$C$9:$O$35,11,FALSE),IF(E23='2. AWARDS'!I$7,(1+P23)*VLOOKUP(F23,'2. AWARDS'!$C$9:$O$35,12,FALSE),IF(E23='2. AWARDS'!J$7,(1+P23)*VLOOKUP(F23,'2. AWARDS'!$C$9:$O$35,13,FALSE)))))),IF(AND(N23&lt;O23,N23&gt;Q23),IF(E23='2. AWARDS'!F$7,(1+(R23/9))*VLOOKUP(F23,'2. AWARDS'!$C$9:$O$35,9,FALSE),IF(E23='2. AWARDS'!G$7,(1+(R23/9))*VLOOKUP(F23,'2. AWARDS'!$C$9:$O$35,10,FALSE),IF(E23='2. AWARDS'!H$7,(1+(R23/9))*VLOOKUP(F23,'2. AWARDS'!$C$9:$O$35,11,FALSE),IF(E23='2. AWARDS'!I$7,(1+(R23/9))*VLOOKUP(F23,'2. AWARDS'!$C$9:$O$35,12,FALSE),IF(E23='2. AWARDS'!J$7,(1+(R23/9))*VLOOKUP(F23,'2. AWARDS'!$C$9:$O$35,13,FALSE)))))),IF(OR(N23=MAX(O23,Q23),AND(N23&gt;O23,N23&gt;Q23)),IF(E23='2. AWARDS'!F$7,((1+(R23/9))*(1+P23))*VLOOKUP(F23,'2. AWARDS'!$C$9:$O$35,9,FALSE),IF(E23='2. AWARDS'!G$7,((1+(R23/9))*(1+P23))*VLOOKUP(F23,'2. AWARDS'!$C$9:$O$35,10,FALSE),IF(E23='2. AWARDS'!H$7,((1+(R23/9))*(1+P23))*VLOOKUP(F23,'2. AWARDS'!$C$9:$O$35,11,FALSE),IF(E23='2. AWARDS'!I$7,((1+(R23/9))*(1+P23))*VLOOKUP(F23,'2. AWARDS'!$C$9:$O$35,12,FALSE),IF(E23='2. AWARDS'!J$7,((1+(R23/9))*(1+P23))*VLOOKUP(F23,'2. AWARDS'!$C$9:$O$35,13,FALSE)))))),"?")))))))))))</f>
        <v>0</v>
      </c>
      <c r="Z23" s="656" t="e">
        <f>IF(AND(E23='2. AWARDS'!F$7,O23&gt;N23,O23&gt;Q23,VLOOKUP(F23,'2. AWARDS'!$C$9:$O$35,9,FALSE)&lt;&gt;0),VLOOKUP(F23,'2. AWARDS'!$C$9:$O$35,9,FALSE)*(1+P23)*(1+(R23/9)),IF(AND(E23='2. AWARDS'!F$7,O23&gt;N23,O23&gt;Q23,VLOOKUP(F23,'2. AWARDS'!$C$9:$O$35,9,FALSE)=0),X23*(1+P23)*(1+(R23/9)),IF(AND(E23='2. AWARDS'!G$7,O23&gt;N23,O23&gt;Q23,VLOOKUP(F23,'2. AWARDS'!$C$9:$O$35,10,FALSE)&lt;&gt;0),VLOOKUP(F23,'2. AWARDS'!$C$9:$O$35,10,FALSE)*(1+P23)*(1+(R23/9)),IF(AND(E23='2. AWARDS'!G$7,O23&gt;N23,O23&gt;Q23,VLOOKUP(F23,'2. AWARDS'!$C$9:$O$35,10,FALSE)=0),X23*(1+P23)*(1+(R23/9)),IF(AND(E23='2. AWARDS'!H$7,O23&gt;N23,O23&gt;Q23,VLOOKUP(F23,'2. AWARDS'!$C$9:$O$35,11,FALSE)&lt;&gt;0),VLOOKUP(F23,'2. AWARDS'!$C$9:$O$35,11,FALSE)*(1+P23)*(1+(R23/9)),IF(AND(E23='2. AWARDS'!H$7,O23&gt;N23,O23&gt;Q23,VLOOKUP(F23,'2. AWARDS'!$C$9:$O$35,11,FALSE)=0),X23*(1+P23)*(1+(R23/9)),IF(AND(E23='2. AWARDS'!I$7,O23&gt;N23,O23&gt;Q23,VLOOKUP(F23,'2. AWARDS'!$C$9:$O$35,12,FALSE)&lt;&gt;0),VLOOKUP(F23,'2. AWARDS'!$C$9:$O$35,12,FALSE)*(1+P23)*(1+(R23/9)),IF(AND(E23='2. AWARDS'!I$7,O23&gt;N23,O23&gt;Q23,VLOOKUP(F23,'2. AWARDS'!$C$9:$O$35,12,FALSE)=0),X23*(1+P23)*(1+(R23/9)),IF(AND(E23='2. AWARDS'!J$7,O23&gt;N23,O23&gt;Q23,VLOOKUP(F23,'2. AWARDS'!$C$9:$O$35,13,FALSE)&lt;&gt;0),VLOOKUP(F23,'2. AWARDS'!$C$9:$O$35,13,FALSE)*(1+P23)*(1+(R23/9)),IF(AND(E23='2. AWARDS'!J$7,O23&gt;N23,O23&gt;Q23,VLOOKUP(F23,'2. AWARDS'!$C$9:$O$35,13,FALSE)=0),X23*(1+P23)*(1+(R23/9)),IF(AND(O23&lt;N23,O23&gt;Q23),X23*(1+P23)*(1+(R23/9)),IF(AND(E23='2. AWARDS'!F$7,O23=MAX(N23,Q23),VLOOKUP(F23,'2. AWARDS'!$C$9:$O$35,9,FALSE)&lt;&gt;0),VLOOKUP(F23,'2. AWARDS'!$C$9:$O$35,9,FALSE)*(1+P23)*(1+(R23/9)),IF(AND(E23='2. AWARDS'!F$7,O23=MAX(N23,Q23),VLOOKUP(F23,'2. AWARDS'!$C$9:$O$35,9,FALSE)=0),X23*(1+P23)*(1+(R23/9)),IF(AND(E23='2. AWARDS'!G$7,O23=MAX(N23,Q23),VLOOKUP(F23,'2. AWARDS'!$C$9:$O$35,10,FALSE)&lt;&gt;0),VLOOKUP(F23,'2. AWARDS'!$C$9:$O$35,10,FALSE)*(1+P23)*(1+(R23/9)),IF(AND(E23='2. AWARDS'!G$7,O23=MAX(N23,Q23),VLOOKUP(F23,'2. AWARDS'!$C$9:$O$35,10,FALSE)=0),X23*(1+P23)*(1+(R23/9)),IF(AND(E23='2. AWARDS'!H$7,O23=MAX(N23,Q23),VLOOKUP(F23,'2. AWARDS'!$C$9:$O$35,11,FALSE)&lt;&gt;0),VLOOKUP(F23,'2. AWARDS'!$C$9:$O$35,11,FALSE)*(1+P23)*(1+(R23/9)),IF(AND(E23='2. AWARDS'!H$7,O23=MAX(N23,Q23),VLOOKUP(F23,'2. AWARDS'!$C$9:$O$35,11,FALSE)=0),X23*(1+P23)*(1+(R23/9)),IF(AND(E23='2. AWARDS'!I$7,O23=MAX(N23,Q23),VLOOKUP(F23,'2. AWARDS'!$C$9:$O$35,12,FALSE)&lt;&gt;0),VLOOKUP(F23,'2. AWARDS'!$C$9:$O$35,12,FALSE)*(1+P23)*(1+(R23/9)),IF(AND(E23='2. AWARDS'!I$7,O23=MAX(N23,Q23),VLOOKUP(F23,'2. AWARDS'!$C$9:$O$35,12,FALSE)=0),X23*(1+P23)*(1+(R23/9)),IF(AND(E23='2. AWARDS'!J$7,O23=MAX(N23,Q23),VLOOKUP(F23,'2. AWARDS'!$C$9:$O$35,13,FALSE)&lt;&gt;0),VLOOKUP(F23,'2. AWARDS'!$C$9:$O$35,13,FALSE)*(1+P23)*(1+(R23/9)),IF(AND(E23='2. AWARDS'!J$7,O23=MAX(N23,Q23),VLOOKUP(F23,'2. AWARDS'!$C$9:$O$35,13,FALSE)=0),X23*(1+P23)*(1+(R23/9)),IF(AND(O23&lt;N23,O23&lt;Q23),X23*(1+P23),IF(AND(O23=N23,N23&lt;Q23,E23='2. AWARDS'!F$7),VLOOKUP(F23,'2. AWARDS'!$C$9:$O$35,9,FALSE)*(1+P23),IF(AND(O23=N23,N23&lt;Q23,E23='2. AWARDS'!G$7),VLOOKUP(F23,'2. AWARDS'!$C$9:$O$35,10,FALSE)*(1+P23),IF(AND(O23=N23,N23&lt;Q23,E23='2. AWARDS'!H$7),VLOOKUP(F23,'2. AWARDS'!$C$9:$O$35,11,FALSE)*(1+P23),IF(AND(O23=N23,N23&lt;Q23,E23='2. AWARDS'!I$7),VLOOKUP(F23,'2. AWARDS'!$C$9:$O$35,12,FALSE)*(1+P23),IF(AND(O23=N23,N23&lt;Q23,E23='2. AWARDS'!J$7),VLOOKUP(F23,'2. AWARDS'!$C$9:$O$35,13,FALSE)*(1+P23),IF(AND(O23=Q23,N23&gt;Q23),X23*(1+P23)*(1+(R23/9)),IF(AND(E23='2. AWARDS'!F$7,O23&gt;N23,O23&lt;Q23,VLOOKUP(F23,'2. AWARDS'!$C$9:$O$35,9,FALSE)&lt;&gt;0),VLOOKUP(F23,'2. AWARDS'!$C$9:$O$35,9,FALSE)*(1+P23),IF(AND(E23='2. AWARDS'!G$7,O23&gt;N23,O23&lt;Q23,VLOOKUP(F23,'2. AWARDS'!$C$9:$O$35,10,FALSE)&lt;&gt;0),VLOOKUP(F23,'2. AWARDS'!$C$9:$O$35,10,FALSE)*(1+P23),IF(AND(E23='2. AWARDS'!H$7,O23&gt;N23,O23&lt;Q23,VLOOKUP(F23,'2. AWARDS'!$C$9:$O$35,11,FALSE)&lt;&gt;0),VLOOKUP(F23,'2. AWARDS'!$C$9:$O$35,11,FALSE)*(1+P23),IF(AND(E23='2. AWARDS'!I$7,O23&gt;N23,O23&lt;Q23,VLOOKUP(F23,'2. AWARDS'!$C$9:$O$35,12,FALSE)&lt;&gt;0),VLOOKUP(F23,'2. AWARDS'!$C$9:$O$35,12,FALSE)*(1+P23),IF(AND(E23='2. AWARDS'!J$7,O23&gt;N23,O23&lt;Q23,VLOOKUP(F23,'2. AWARDS'!$C$9:$O$35,13,FALSE)&lt;&gt;0),VLOOKUP(F23,'2. AWARDS'!$C$9:$O$35,13,FALSE)*(1+P23),X23*(1+P23))))))))))))))))))))))))))))))))))</f>
        <v>#N/A</v>
      </c>
      <c r="AA23" s="661" t="e">
        <f t="shared" si="2"/>
        <v>#N/A</v>
      </c>
      <c r="AB23" s="683"/>
      <c r="AC23" s="774"/>
      <c r="AD23" s="774"/>
      <c r="AE23" s="774"/>
      <c r="AF23" s="781">
        <f t="shared" si="9"/>
        <v>0</v>
      </c>
      <c r="AG23" s="781" t="e">
        <f>HLOOKUP(E23,'2. AWARDS'!$F$7:$J$40,32,FALSE)/5*HLOOKUP(E23,'2. AWARDS'!$F$7:$J$40,31,FALSE)*MAX(W23:AA23)*M23*HLOOKUP(E23,'2. AWARDS'!$F$7:$J$40,34,FALSE)*L23/(38*2)</f>
        <v>#N/A</v>
      </c>
      <c r="AH23" s="783" t="e">
        <f>((HLOOKUP(E23,'2. AWARDS'!$F$7:$J$42,36,FALSE)/HLOOKUP(E23,'2. AWARDS'!$F$7:$J$42,35,FALSE)*HLOOKUP(E23,'2. AWARDS'!$F$7:$J$45,39,FALSE))/(HLOOKUP(E23,'2. AWARDS'!$F$7:$J$45,31,FALSE)*2)*L23*M23*HLOOKUP(E23,'2. AWARDS'!$F$7:$J$45,31,FALSE)*MAX(W23:AA23))</f>
        <v>#N/A</v>
      </c>
      <c r="AI23" s="474"/>
      <c r="AJ23" s="804"/>
      <c r="AK23" s="801"/>
      <c r="AL23" s="801"/>
      <c r="AM23" s="802"/>
      <c r="AN23" s="805"/>
      <c r="AO23" s="836">
        <f>IF(AJ23="YES",HLOOKUP(E23,'2. AWARDS'!$F$7:$J$38,32,FALSE)/5*HLOOKUP(E23,'2. AWARDS'!$F$7:$J$37,31,FALSE)*L23/(HLOOKUP(E23,'2. AWARDS'!$F$7:$J$37,31,FALSE)*2)*M23*MAX(W23:AA23)*(1+HLOOKUP(E23,'2. AWARDS'!$F$7:$J$43,37,FALSE))*(1-AM23),0)</f>
        <v>0</v>
      </c>
      <c r="AP23" s="836">
        <f>IF(AK23="YES",HLOOKUP(E23,'2. AWARDS'!$F$7:$J$39,33,FALSE)/5*HLOOKUP(E23,'2. AWARDS'!$F$7:$J$37,31,FALSE)*L23/(HLOOKUP(E23,'2. AWARDS'!$F$7:$J$37,31,FALSE)*2)*M23*MAX(W23:AA23)*(1+HLOOKUP(E23,'2. AWARDS'!$F$7:$J$43,37,FALSE))*(1-AM23),0)</f>
        <v>0</v>
      </c>
      <c r="AQ23" s="838">
        <f>IF(AL23="YES",HLOOKUP(E23,'2. AWARDS'!$F$7:$J$47,40,FALSE)/5*HLOOKUP(E23,'2. AWARDS'!$F$7:$J$37,31,FALSE)*L23/(HLOOKUP(E23,'2. AWARDS'!$F$7:$J$37,31,FALSE)*2)*M23*MAX(W23:AA23)*(1+HLOOKUP(E23,'2. AWARDS'!$F$7:$J$43,37,FALSE))*(1-AM23),0)</f>
        <v>0</v>
      </c>
      <c r="AR23" s="839">
        <f>(IF(AJ23="YES",HLOOKUP(E23,'2. AWARDS'!$F$7:$J$39,32,FALSE),0)+IF(AK23="YES",HLOOKUP(E23,'2. AWARDS'!$F$7:$J$39,33,FALSE),0)+IF(AL23="YES",HLOOKUP(E23,'2. AWARDS'!$F$7:$J$47,40,FALSE),0))*L23/76*7.6*AM23*AN23*M23</f>
        <v>0</v>
      </c>
      <c r="AS23" s="683"/>
      <c r="AT23" s="215">
        <f>'1. KEY DATA'!J$29</f>
        <v>0</v>
      </c>
      <c r="AU23" s="218">
        <f>'1. KEY DATA'!J$30</f>
        <v>0.09</v>
      </c>
      <c r="AV23" s="502"/>
      <c r="AW23" s="1104">
        <f t="shared" si="3"/>
        <v>0</v>
      </c>
      <c r="AX23" s="176"/>
      <c r="AY23" s="173"/>
      <c r="AZ23" s="452">
        <f t="shared" si="4"/>
        <v>0</v>
      </c>
      <c r="BA23" s="405" t="str">
        <f t="shared" ref="BA23:BO32" si="10">IF($AY23=BA$8,$AW23, "-")</f>
        <v>-</v>
      </c>
      <c r="BB23" s="406" t="str">
        <f t="shared" si="10"/>
        <v>-</v>
      </c>
      <c r="BC23" s="406" t="str">
        <f t="shared" si="10"/>
        <v>-</v>
      </c>
      <c r="BD23" s="406" t="str">
        <f t="shared" si="10"/>
        <v>-</v>
      </c>
      <c r="BE23" s="406" t="str">
        <f t="shared" si="10"/>
        <v>-</v>
      </c>
      <c r="BF23" s="406" t="str">
        <f t="shared" si="10"/>
        <v>-</v>
      </c>
      <c r="BG23" s="406" t="str">
        <f t="shared" si="10"/>
        <v>-</v>
      </c>
      <c r="BH23" s="406" t="str">
        <f t="shared" si="10"/>
        <v>-</v>
      </c>
      <c r="BI23" s="406" t="str">
        <f t="shared" si="10"/>
        <v>-</v>
      </c>
      <c r="BJ23" s="406" t="str">
        <f t="shared" si="10"/>
        <v>-</v>
      </c>
      <c r="BK23" s="406" t="str">
        <f t="shared" si="10"/>
        <v>-</v>
      </c>
      <c r="BL23" s="406" t="str">
        <f t="shared" si="10"/>
        <v>-</v>
      </c>
      <c r="BM23" s="406" t="str">
        <f t="shared" si="10"/>
        <v>-</v>
      </c>
      <c r="BN23" s="406" t="str">
        <f t="shared" si="10"/>
        <v>-</v>
      </c>
      <c r="BO23" s="407" t="str">
        <f t="shared" si="10"/>
        <v>-</v>
      </c>
      <c r="BP23" s="1539"/>
    </row>
    <row r="24" spans="2:68" s="9" customFormat="1">
      <c r="B24" s="505"/>
      <c r="C24" s="80"/>
      <c r="D24" s="699">
        <f t="shared" si="1"/>
        <v>0</v>
      </c>
      <c r="E24" s="626"/>
      <c r="F24" s="652"/>
      <c r="G24" s="702"/>
      <c r="H24" s="693"/>
      <c r="I24" s="694"/>
      <c r="J24" s="1113"/>
      <c r="K24" s="1114"/>
      <c r="L24" s="763"/>
      <c r="M24" s="689"/>
      <c r="N24" s="629"/>
      <c r="O24" s="629"/>
      <c r="P24" s="638">
        <f t="shared" si="6"/>
        <v>0.03</v>
      </c>
      <c r="Q24" s="629"/>
      <c r="R24" s="673" t="str">
        <f t="shared" si="7"/>
        <v>-</v>
      </c>
      <c r="S24" s="649"/>
      <c r="T24" s="647"/>
      <c r="U24" s="827"/>
      <c r="V24" s="670"/>
      <c r="W24" s="798">
        <f t="shared" si="8"/>
        <v>0</v>
      </c>
      <c r="X24" s="656">
        <f>IF(OR(E24=0,F24=0),0,IF(E24='2. AWARDS'!F$7,VLOOKUP(F24,'2. AWARDS'!$C$9:$F$35,4,FALSE),IF(E24='2. AWARDS'!G$7,VLOOKUP(F24,'2. AWARDS'!$C$9:$G$35,5,FALSE),IF(E24='2. AWARDS'!H$7,VLOOKUP(F24,'2. AWARDS'!$C$9:$H$35,6,FALSE),IF(E24='2. AWARDS'!I$7,VLOOKUP(F24,'2. AWARDS'!$C$9:$I$35,7,FALSE),VLOOKUP(F24,'2. AWARDS'!$C$9:$J$35,8,FALSE))))))</f>
        <v>0</v>
      </c>
      <c r="Y24" s="657">
        <f>IF(OR(E24=0,F24=0),0,IF(AND(N24=0,E24='2. AWARDS'!F$7,VLOOKUP(F24,'2. AWARDS'!$C$9:$O$35,9,FALSE)&lt;&gt;0),"date missing",IF(AND(N24=0,E24='2. AWARDS'!G$7,VLOOKUP(F24,'2. AWARDS'!$C$9:$O$35,10,FALSE)&lt;&gt;0),"date missing",IF(AND(N24=0,E24='2. AWARDS'!H$7,VLOOKUP(F24,'2. AWARDS'!$C$9:$O$35,11,FALSE)&lt;&gt;0),"date missing",IF(AND(N24=0,E24='2. AWARDS'!I$7,VLOOKUP(F24,'2. AWARDS'!$C$9:$O$35,12,FALSE)&lt;&gt;0),"date missing",IF(AND(N24=0,E24='2. AWARDS'!J$7,VLOOKUP(F24,'2. AWARDS'!$C$9:$O$35,13,FALSE)&lt;&gt;0),"date missing",IF(N24=0,0,IF(OR(N24=MIN(O24,Q24),AND(N24&lt;O24,N24&lt;Q24,N24&gt;0)),IF(E24='2. AWARDS'!F$7,VLOOKUP(F24,'2. AWARDS'!$C$9:$O$35,9,FALSE),IF(E24='2. AWARDS'!G$7,VLOOKUP(F24,'2. AWARDS'!$C$9:$O$35,10,FALSE),IF(E24='2. AWARDS'!H$7,VLOOKUP(F24,'2. AWARDS'!$C$9:$O$35,11,FALSE),IF(E24='2. AWARDS'!I$7,VLOOKUP(F24,'2. AWARDS'!$C$9:$O$35,12,FALSE),IF(E24='2. AWARDS'!J$7,VLOOKUP(F24,'2. AWARDS'!$C$9:$O$35,13,FALSE)))))),IF(AND(N24&gt;O24,N24&lt;Q24),IF(E24='2. AWARDS'!F$7,(1+P24)*VLOOKUP(F24,'2. AWARDS'!$C$9:$O$35,9,FALSE),IF(E24='2. AWARDS'!G$7,(1+P24)*VLOOKUP(F24,'2. AWARDS'!$C$9:$O$35,10,FALSE),IF(E24='2. AWARDS'!H$7,(1+P24)*VLOOKUP(F24,'2. AWARDS'!$C$9:$O$35,11,FALSE),IF(E24='2. AWARDS'!I$7,(1+P24)*VLOOKUP(F24,'2. AWARDS'!$C$9:$O$35,12,FALSE),IF(E24='2. AWARDS'!J$7,(1+P24)*VLOOKUP(F24,'2. AWARDS'!$C$9:$O$35,13,FALSE)))))),IF(AND(N24&lt;O24,N24&gt;Q24),IF(E24='2. AWARDS'!F$7,(1+(R24/9))*VLOOKUP(F24,'2. AWARDS'!$C$9:$O$35,9,FALSE),IF(E24='2. AWARDS'!G$7,(1+(R24/9))*VLOOKUP(F24,'2. AWARDS'!$C$9:$O$35,10,FALSE),IF(E24='2. AWARDS'!H$7,(1+(R24/9))*VLOOKUP(F24,'2. AWARDS'!$C$9:$O$35,11,FALSE),IF(E24='2. AWARDS'!I$7,(1+(R24/9))*VLOOKUP(F24,'2. AWARDS'!$C$9:$O$35,12,FALSE),IF(E24='2. AWARDS'!J$7,(1+(R24/9))*VLOOKUP(F24,'2. AWARDS'!$C$9:$O$35,13,FALSE)))))),IF(OR(N24=MAX(O24,Q24),AND(N24&gt;O24,N24&gt;Q24)),IF(E24='2. AWARDS'!F$7,((1+(R24/9))*(1+P24))*VLOOKUP(F24,'2. AWARDS'!$C$9:$O$35,9,FALSE),IF(E24='2. AWARDS'!G$7,((1+(R24/9))*(1+P24))*VLOOKUP(F24,'2. AWARDS'!$C$9:$O$35,10,FALSE),IF(E24='2. AWARDS'!H$7,((1+(R24/9))*(1+P24))*VLOOKUP(F24,'2. AWARDS'!$C$9:$O$35,11,FALSE),IF(E24='2. AWARDS'!I$7,((1+(R24/9))*(1+P24))*VLOOKUP(F24,'2. AWARDS'!$C$9:$O$35,12,FALSE),IF(E24='2. AWARDS'!J$7,((1+(R24/9))*(1+P24))*VLOOKUP(F24,'2. AWARDS'!$C$9:$O$35,13,FALSE)))))),"?")))))))))))</f>
        <v>0</v>
      </c>
      <c r="Z24" s="656" t="e">
        <f>IF(AND(E24='2. AWARDS'!F$7,O24&gt;N24,O24&gt;Q24,VLOOKUP(F24,'2. AWARDS'!$C$9:$O$35,9,FALSE)&lt;&gt;0),VLOOKUP(F24,'2. AWARDS'!$C$9:$O$35,9,FALSE)*(1+P24)*(1+(R24/9)),IF(AND(E24='2. AWARDS'!F$7,O24&gt;N24,O24&gt;Q24,VLOOKUP(F24,'2. AWARDS'!$C$9:$O$35,9,FALSE)=0),X24*(1+P24)*(1+(R24/9)),IF(AND(E24='2. AWARDS'!G$7,O24&gt;N24,O24&gt;Q24,VLOOKUP(F24,'2. AWARDS'!$C$9:$O$35,10,FALSE)&lt;&gt;0),VLOOKUP(F24,'2. AWARDS'!$C$9:$O$35,10,FALSE)*(1+P24)*(1+(R24/9)),IF(AND(E24='2. AWARDS'!G$7,O24&gt;N24,O24&gt;Q24,VLOOKUP(F24,'2. AWARDS'!$C$9:$O$35,10,FALSE)=0),X24*(1+P24)*(1+(R24/9)),IF(AND(E24='2. AWARDS'!H$7,O24&gt;N24,O24&gt;Q24,VLOOKUP(F24,'2. AWARDS'!$C$9:$O$35,11,FALSE)&lt;&gt;0),VLOOKUP(F24,'2. AWARDS'!$C$9:$O$35,11,FALSE)*(1+P24)*(1+(R24/9)),IF(AND(E24='2. AWARDS'!H$7,O24&gt;N24,O24&gt;Q24,VLOOKUP(F24,'2. AWARDS'!$C$9:$O$35,11,FALSE)=0),X24*(1+P24)*(1+(R24/9)),IF(AND(E24='2. AWARDS'!I$7,O24&gt;N24,O24&gt;Q24,VLOOKUP(F24,'2. AWARDS'!$C$9:$O$35,12,FALSE)&lt;&gt;0),VLOOKUP(F24,'2. AWARDS'!$C$9:$O$35,12,FALSE)*(1+P24)*(1+(R24/9)),IF(AND(E24='2. AWARDS'!I$7,O24&gt;N24,O24&gt;Q24,VLOOKUP(F24,'2. AWARDS'!$C$9:$O$35,12,FALSE)=0),X24*(1+P24)*(1+(R24/9)),IF(AND(E24='2. AWARDS'!J$7,O24&gt;N24,O24&gt;Q24,VLOOKUP(F24,'2. AWARDS'!$C$9:$O$35,13,FALSE)&lt;&gt;0),VLOOKUP(F24,'2. AWARDS'!$C$9:$O$35,13,FALSE)*(1+P24)*(1+(R24/9)),IF(AND(E24='2. AWARDS'!J$7,O24&gt;N24,O24&gt;Q24,VLOOKUP(F24,'2. AWARDS'!$C$9:$O$35,13,FALSE)=0),X24*(1+P24)*(1+(R24/9)),IF(AND(O24&lt;N24,O24&gt;Q24),X24*(1+P24)*(1+(R24/9)),IF(AND(E24='2. AWARDS'!F$7,O24=MAX(N24,Q24),VLOOKUP(F24,'2. AWARDS'!$C$9:$O$35,9,FALSE)&lt;&gt;0),VLOOKUP(F24,'2. AWARDS'!$C$9:$O$35,9,FALSE)*(1+P24)*(1+(R24/9)),IF(AND(E24='2. AWARDS'!F$7,O24=MAX(N24,Q24),VLOOKUP(F24,'2. AWARDS'!$C$9:$O$35,9,FALSE)=0),X24*(1+P24)*(1+(R24/9)),IF(AND(E24='2. AWARDS'!G$7,O24=MAX(N24,Q24),VLOOKUP(F24,'2. AWARDS'!$C$9:$O$35,10,FALSE)&lt;&gt;0),VLOOKUP(F24,'2. AWARDS'!$C$9:$O$35,10,FALSE)*(1+P24)*(1+(R24/9)),IF(AND(E24='2. AWARDS'!G$7,O24=MAX(N24,Q24),VLOOKUP(F24,'2. AWARDS'!$C$9:$O$35,10,FALSE)=0),X24*(1+P24)*(1+(R24/9)),IF(AND(E24='2. AWARDS'!H$7,O24=MAX(N24,Q24),VLOOKUP(F24,'2. AWARDS'!$C$9:$O$35,11,FALSE)&lt;&gt;0),VLOOKUP(F24,'2. AWARDS'!$C$9:$O$35,11,FALSE)*(1+P24)*(1+(R24/9)),IF(AND(E24='2. AWARDS'!H$7,O24=MAX(N24,Q24),VLOOKUP(F24,'2. AWARDS'!$C$9:$O$35,11,FALSE)=0),X24*(1+P24)*(1+(R24/9)),IF(AND(E24='2. AWARDS'!I$7,O24=MAX(N24,Q24),VLOOKUP(F24,'2. AWARDS'!$C$9:$O$35,12,FALSE)&lt;&gt;0),VLOOKUP(F24,'2. AWARDS'!$C$9:$O$35,12,FALSE)*(1+P24)*(1+(R24/9)),IF(AND(E24='2. AWARDS'!I$7,O24=MAX(N24,Q24),VLOOKUP(F24,'2. AWARDS'!$C$9:$O$35,12,FALSE)=0),X24*(1+P24)*(1+(R24/9)),IF(AND(E24='2. AWARDS'!J$7,O24=MAX(N24,Q24),VLOOKUP(F24,'2. AWARDS'!$C$9:$O$35,13,FALSE)&lt;&gt;0),VLOOKUP(F24,'2. AWARDS'!$C$9:$O$35,13,FALSE)*(1+P24)*(1+(R24/9)),IF(AND(E24='2. AWARDS'!J$7,O24=MAX(N24,Q24),VLOOKUP(F24,'2. AWARDS'!$C$9:$O$35,13,FALSE)=0),X24*(1+P24)*(1+(R24/9)),IF(AND(O24&lt;N24,O24&lt;Q24),X24*(1+P24),IF(AND(O24=N24,N24&lt;Q24,E24='2. AWARDS'!F$7),VLOOKUP(F24,'2. AWARDS'!$C$9:$O$35,9,FALSE)*(1+P24),IF(AND(O24=N24,N24&lt;Q24,E24='2. AWARDS'!G$7),VLOOKUP(F24,'2. AWARDS'!$C$9:$O$35,10,FALSE)*(1+P24),IF(AND(O24=N24,N24&lt;Q24,E24='2. AWARDS'!H$7),VLOOKUP(F24,'2. AWARDS'!$C$9:$O$35,11,FALSE)*(1+P24),IF(AND(O24=N24,N24&lt;Q24,E24='2. AWARDS'!I$7),VLOOKUP(F24,'2. AWARDS'!$C$9:$O$35,12,FALSE)*(1+P24),IF(AND(O24=N24,N24&lt;Q24,E24='2. AWARDS'!J$7),VLOOKUP(F24,'2. AWARDS'!$C$9:$O$35,13,FALSE)*(1+P24),IF(AND(O24=Q24,N24&gt;Q24),X24*(1+P24)*(1+(R24/9)),IF(AND(E24='2. AWARDS'!F$7,O24&gt;N24,O24&lt;Q24,VLOOKUP(F24,'2. AWARDS'!$C$9:$O$35,9,FALSE)&lt;&gt;0),VLOOKUP(F24,'2. AWARDS'!$C$9:$O$35,9,FALSE)*(1+P24),IF(AND(E24='2. AWARDS'!G$7,O24&gt;N24,O24&lt;Q24,VLOOKUP(F24,'2. AWARDS'!$C$9:$O$35,10,FALSE)&lt;&gt;0),VLOOKUP(F24,'2. AWARDS'!$C$9:$O$35,10,FALSE)*(1+P24),IF(AND(E24='2. AWARDS'!H$7,O24&gt;N24,O24&lt;Q24,VLOOKUP(F24,'2. AWARDS'!$C$9:$O$35,11,FALSE)&lt;&gt;0),VLOOKUP(F24,'2. AWARDS'!$C$9:$O$35,11,FALSE)*(1+P24),IF(AND(E24='2. AWARDS'!I$7,O24&gt;N24,O24&lt;Q24,VLOOKUP(F24,'2. AWARDS'!$C$9:$O$35,12,FALSE)&lt;&gt;0),VLOOKUP(F24,'2. AWARDS'!$C$9:$O$35,12,FALSE)*(1+P24),IF(AND(E24='2. AWARDS'!J$7,O24&gt;N24,O24&lt;Q24,VLOOKUP(F24,'2. AWARDS'!$C$9:$O$35,13,FALSE)&lt;&gt;0),VLOOKUP(F24,'2. AWARDS'!$C$9:$O$35,13,FALSE)*(1+P24),X24*(1+P24))))))))))))))))))))))))))))))))))</f>
        <v>#N/A</v>
      </c>
      <c r="AA24" s="661" t="e">
        <f t="shared" si="2"/>
        <v>#N/A</v>
      </c>
      <c r="AB24" s="683"/>
      <c r="AC24" s="774"/>
      <c r="AD24" s="774"/>
      <c r="AE24" s="774"/>
      <c r="AF24" s="781">
        <f t="shared" si="9"/>
        <v>0</v>
      </c>
      <c r="AG24" s="781" t="e">
        <f>HLOOKUP(E24,'2. AWARDS'!$F$7:$J$40,32,FALSE)/5*HLOOKUP(E24,'2. AWARDS'!$F$7:$J$40,31,FALSE)*MAX(W24:AA24)*M24*HLOOKUP(E24,'2. AWARDS'!$F$7:$J$40,34,FALSE)*L24/(38*2)</f>
        <v>#N/A</v>
      </c>
      <c r="AH24" s="783" t="e">
        <f>((HLOOKUP(E24,'2. AWARDS'!$F$7:$J$42,36,FALSE)/HLOOKUP(E24,'2. AWARDS'!$F$7:$J$42,35,FALSE)*HLOOKUP(E24,'2. AWARDS'!$F$7:$J$45,39,FALSE))/(HLOOKUP(E24,'2. AWARDS'!$F$7:$J$45,31,FALSE)*2)*L24*M24*HLOOKUP(E24,'2. AWARDS'!$F$7:$J$45,31,FALSE)*MAX(W24:AA24))</f>
        <v>#N/A</v>
      </c>
      <c r="AI24" s="474"/>
      <c r="AJ24" s="804"/>
      <c r="AK24" s="801"/>
      <c r="AL24" s="801"/>
      <c r="AM24" s="802"/>
      <c r="AN24" s="805"/>
      <c r="AO24" s="836">
        <f>IF(AJ24="YES",HLOOKUP(E24,'2. AWARDS'!$F$7:$J$38,32,FALSE)/5*HLOOKUP(E24,'2. AWARDS'!$F$7:$J$37,31,FALSE)*L24/(HLOOKUP(E24,'2. AWARDS'!$F$7:$J$37,31,FALSE)*2)*M24*MAX(W24:AA24)*(1+HLOOKUP(E24,'2. AWARDS'!$F$7:$J$43,37,FALSE))*(1-AM24),0)</f>
        <v>0</v>
      </c>
      <c r="AP24" s="836">
        <f>IF(AK24="YES",HLOOKUP(E24,'2. AWARDS'!$F$7:$J$39,33,FALSE)/5*HLOOKUP(E24,'2. AWARDS'!$F$7:$J$37,31,FALSE)*L24/(HLOOKUP(E24,'2. AWARDS'!$F$7:$J$37,31,FALSE)*2)*M24*MAX(W24:AA24)*(1+HLOOKUP(E24,'2. AWARDS'!$F$7:$J$43,37,FALSE))*(1-AM24),0)</f>
        <v>0</v>
      </c>
      <c r="AQ24" s="838">
        <f>IF(AL24="YES",HLOOKUP(E24,'2. AWARDS'!$F$7:$J$47,40,FALSE)/5*HLOOKUP(E24,'2. AWARDS'!$F$7:$J$37,31,FALSE)*L24/(HLOOKUP(E24,'2. AWARDS'!$F$7:$J$37,31,FALSE)*2)*M24*MAX(W24:AA24)*(1+HLOOKUP(E24,'2. AWARDS'!$F$7:$J$43,37,FALSE))*(1-AM24),0)</f>
        <v>0</v>
      </c>
      <c r="AR24" s="839">
        <f>(IF(AJ24="YES",HLOOKUP(E24,'2. AWARDS'!$F$7:$J$39,32,FALSE),0)+IF(AK24="YES",HLOOKUP(E24,'2. AWARDS'!$F$7:$J$39,33,FALSE),0)+IF(AL24="YES",HLOOKUP(E24,'2. AWARDS'!$F$7:$J$47,40,FALSE),0))*L24/76*7.6*AM24*AN24*M24</f>
        <v>0</v>
      </c>
      <c r="AS24" s="683"/>
      <c r="AT24" s="215">
        <f>'1. KEY DATA'!J$29</f>
        <v>0</v>
      </c>
      <c r="AU24" s="218">
        <f>'1. KEY DATA'!J$30</f>
        <v>0.09</v>
      </c>
      <c r="AV24" s="502"/>
      <c r="AW24" s="1104">
        <f t="shared" si="3"/>
        <v>0</v>
      </c>
      <c r="AX24" s="176"/>
      <c r="AY24" s="173"/>
      <c r="AZ24" s="452">
        <f t="shared" si="4"/>
        <v>0</v>
      </c>
      <c r="BA24" s="405" t="str">
        <f t="shared" si="10"/>
        <v>-</v>
      </c>
      <c r="BB24" s="406" t="str">
        <f t="shared" si="10"/>
        <v>-</v>
      </c>
      <c r="BC24" s="406" t="str">
        <f t="shared" si="10"/>
        <v>-</v>
      </c>
      <c r="BD24" s="406" t="str">
        <f t="shared" si="10"/>
        <v>-</v>
      </c>
      <c r="BE24" s="406" t="str">
        <f t="shared" si="10"/>
        <v>-</v>
      </c>
      <c r="BF24" s="406" t="str">
        <f t="shared" si="10"/>
        <v>-</v>
      </c>
      <c r="BG24" s="406" t="str">
        <f t="shared" si="10"/>
        <v>-</v>
      </c>
      <c r="BH24" s="406" t="str">
        <f t="shared" si="10"/>
        <v>-</v>
      </c>
      <c r="BI24" s="406" t="str">
        <f t="shared" si="10"/>
        <v>-</v>
      </c>
      <c r="BJ24" s="406" t="str">
        <f t="shared" si="10"/>
        <v>-</v>
      </c>
      <c r="BK24" s="406" t="str">
        <f t="shared" si="10"/>
        <v>-</v>
      </c>
      <c r="BL24" s="406" t="str">
        <f t="shared" si="10"/>
        <v>-</v>
      </c>
      <c r="BM24" s="406" t="str">
        <f t="shared" si="10"/>
        <v>-</v>
      </c>
      <c r="BN24" s="406" t="str">
        <f t="shared" si="10"/>
        <v>-</v>
      </c>
      <c r="BO24" s="407" t="str">
        <f t="shared" si="10"/>
        <v>-</v>
      </c>
      <c r="BP24" s="1539"/>
    </row>
    <row r="25" spans="2:68" s="9" customFormat="1">
      <c r="B25" s="505"/>
      <c r="C25" s="80"/>
      <c r="D25" s="699">
        <f t="shared" si="1"/>
        <v>0</v>
      </c>
      <c r="E25" s="626"/>
      <c r="F25" s="652"/>
      <c r="G25" s="702"/>
      <c r="H25" s="693"/>
      <c r="I25" s="694"/>
      <c r="J25" s="1113"/>
      <c r="K25" s="1114"/>
      <c r="L25" s="763"/>
      <c r="M25" s="689"/>
      <c r="N25" s="629"/>
      <c r="O25" s="629"/>
      <c r="P25" s="638">
        <f t="shared" si="6"/>
        <v>0.03</v>
      </c>
      <c r="Q25" s="629"/>
      <c r="R25" s="673" t="str">
        <f t="shared" si="7"/>
        <v>-</v>
      </c>
      <c r="S25" s="649"/>
      <c r="T25" s="647"/>
      <c r="U25" s="827"/>
      <c r="V25" s="670"/>
      <c r="W25" s="798">
        <f t="shared" si="8"/>
        <v>0</v>
      </c>
      <c r="X25" s="656">
        <f>IF(OR(E25=0,F25=0),0,IF(E25='2. AWARDS'!F$7,VLOOKUP(F25,'2. AWARDS'!$C$9:$F$35,4,FALSE),IF(E25='2. AWARDS'!G$7,VLOOKUP(F25,'2. AWARDS'!$C$9:$G$35,5,FALSE),IF(E25='2. AWARDS'!H$7,VLOOKUP(F25,'2. AWARDS'!$C$9:$H$35,6,FALSE),IF(E25='2. AWARDS'!I$7,VLOOKUP(F25,'2. AWARDS'!$C$9:$I$35,7,FALSE),VLOOKUP(F25,'2. AWARDS'!$C$9:$J$35,8,FALSE))))))</f>
        <v>0</v>
      </c>
      <c r="Y25" s="657">
        <f>IF(OR(E25=0,F25=0),0,IF(AND(N25=0,E25='2. AWARDS'!F$7,VLOOKUP(F25,'2. AWARDS'!$C$9:$O$35,9,FALSE)&lt;&gt;0),"date missing",IF(AND(N25=0,E25='2. AWARDS'!G$7,VLOOKUP(F25,'2. AWARDS'!$C$9:$O$35,10,FALSE)&lt;&gt;0),"date missing",IF(AND(N25=0,E25='2. AWARDS'!H$7,VLOOKUP(F25,'2. AWARDS'!$C$9:$O$35,11,FALSE)&lt;&gt;0),"date missing",IF(AND(N25=0,E25='2. AWARDS'!I$7,VLOOKUP(F25,'2. AWARDS'!$C$9:$O$35,12,FALSE)&lt;&gt;0),"date missing",IF(AND(N25=0,E25='2. AWARDS'!J$7,VLOOKUP(F25,'2. AWARDS'!$C$9:$O$35,13,FALSE)&lt;&gt;0),"date missing",IF(N25=0,0,IF(OR(N25=MIN(O25,Q25),AND(N25&lt;O25,N25&lt;Q25,N25&gt;0)),IF(E25='2. AWARDS'!F$7,VLOOKUP(F25,'2. AWARDS'!$C$9:$O$35,9,FALSE),IF(E25='2. AWARDS'!G$7,VLOOKUP(F25,'2. AWARDS'!$C$9:$O$35,10,FALSE),IF(E25='2. AWARDS'!H$7,VLOOKUP(F25,'2. AWARDS'!$C$9:$O$35,11,FALSE),IF(E25='2. AWARDS'!I$7,VLOOKUP(F25,'2. AWARDS'!$C$9:$O$35,12,FALSE),IF(E25='2. AWARDS'!J$7,VLOOKUP(F25,'2. AWARDS'!$C$9:$O$35,13,FALSE)))))),IF(AND(N25&gt;O25,N25&lt;Q25),IF(E25='2. AWARDS'!F$7,(1+P25)*VLOOKUP(F25,'2. AWARDS'!$C$9:$O$35,9,FALSE),IF(E25='2. AWARDS'!G$7,(1+P25)*VLOOKUP(F25,'2. AWARDS'!$C$9:$O$35,10,FALSE),IF(E25='2. AWARDS'!H$7,(1+P25)*VLOOKUP(F25,'2. AWARDS'!$C$9:$O$35,11,FALSE),IF(E25='2. AWARDS'!I$7,(1+P25)*VLOOKUP(F25,'2. AWARDS'!$C$9:$O$35,12,FALSE),IF(E25='2. AWARDS'!J$7,(1+P25)*VLOOKUP(F25,'2. AWARDS'!$C$9:$O$35,13,FALSE)))))),IF(AND(N25&lt;O25,N25&gt;Q25),IF(E25='2. AWARDS'!F$7,(1+(R25/9))*VLOOKUP(F25,'2. AWARDS'!$C$9:$O$35,9,FALSE),IF(E25='2. AWARDS'!G$7,(1+(R25/9))*VLOOKUP(F25,'2. AWARDS'!$C$9:$O$35,10,FALSE),IF(E25='2. AWARDS'!H$7,(1+(R25/9))*VLOOKUP(F25,'2. AWARDS'!$C$9:$O$35,11,FALSE),IF(E25='2. AWARDS'!I$7,(1+(R25/9))*VLOOKUP(F25,'2. AWARDS'!$C$9:$O$35,12,FALSE),IF(E25='2. AWARDS'!J$7,(1+(R25/9))*VLOOKUP(F25,'2. AWARDS'!$C$9:$O$35,13,FALSE)))))),IF(OR(N25=MAX(O25,Q25),AND(N25&gt;O25,N25&gt;Q25)),IF(E25='2. AWARDS'!F$7,((1+(R25/9))*(1+P25))*VLOOKUP(F25,'2. AWARDS'!$C$9:$O$35,9,FALSE),IF(E25='2. AWARDS'!G$7,((1+(R25/9))*(1+P25))*VLOOKUP(F25,'2. AWARDS'!$C$9:$O$35,10,FALSE),IF(E25='2. AWARDS'!H$7,((1+(R25/9))*(1+P25))*VLOOKUP(F25,'2. AWARDS'!$C$9:$O$35,11,FALSE),IF(E25='2. AWARDS'!I$7,((1+(R25/9))*(1+P25))*VLOOKUP(F25,'2. AWARDS'!$C$9:$O$35,12,FALSE),IF(E25='2. AWARDS'!J$7,((1+(R25/9))*(1+P25))*VLOOKUP(F25,'2. AWARDS'!$C$9:$O$35,13,FALSE)))))),"?")))))))))))</f>
        <v>0</v>
      </c>
      <c r="Z25" s="656" t="e">
        <f>IF(AND(E25='2. AWARDS'!F$7,O25&gt;N25,O25&gt;Q25,VLOOKUP(F25,'2. AWARDS'!$C$9:$O$35,9,FALSE)&lt;&gt;0),VLOOKUP(F25,'2. AWARDS'!$C$9:$O$35,9,FALSE)*(1+P25)*(1+(R25/9)),IF(AND(E25='2. AWARDS'!F$7,O25&gt;N25,O25&gt;Q25,VLOOKUP(F25,'2. AWARDS'!$C$9:$O$35,9,FALSE)=0),X25*(1+P25)*(1+(R25/9)),IF(AND(E25='2. AWARDS'!G$7,O25&gt;N25,O25&gt;Q25,VLOOKUP(F25,'2. AWARDS'!$C$9:$O$35,10,FALSE)&lt;&gt;0),VLOOKUP(F25,'2. AWARDS'!$C$9:$O$35,10,FALSE)*(1+P25)*(1+(R25/9)),IF(AND(E25='2. AWARDS'!G$7,O25&gt;N25,O25&gt;Q25,VLOOKUP(F25,'2. AWARDS'!$C$9:$O$35,10,FALSE)=0),X25*(1+P25)*(1+(R25/9)),IF(AND(E25='2. AWARDS'!H$7,O25&gt;N25,O25&gt;Q25,VLOOKUP(F25,'2. AWARDS'!$C$9:$O$35,11,FALSE)&lt;&gt;0),VLOOKUP(F25,'2. AWARDS'!$C$9:$O$35,11,FALSE)*(1+P25)*(1+(R25/9)),IF(AND(E25='2. AWARDS'!H$7,O25&gt;N25,O25&gt;Q25,VLOOKUP(F25,'2. AWARDS'!$C$9:$O$35,11,FALSE)=0),X25*(1+P25)*(1+(R25/9)),IF(AND(E25='2. AWARDS'!I$7,O25&gt;N25,O25&gt;Q25,VLOOKUP(F25,'2. AWARDS'!$C$9:$O$35,12,FALSE)&lt;&gt;0),VLOOKUP(F25,'2. AWARDS'!$C$9:$O$35,12,FALSE)*(1+P25)*(1+(R25/9)),IF(AND(E25='2. AWARDS'!I$7,O25&gt;N25,O25&gt;Q25,VLOOKUP(F25,'2. AWARDS'!$C$9:$O$35,12,FALSE)=0),X25*(1+P25)*(1+(R25/9)),IF(AND(E25='2. AWARDS'!J$7,O25&gt;N25,O25&gt;Q25,VLOOKUP(F25,'2. AWARDS'!$C$9:$O$35,13,FALSE)&lt;&gt;0),VLOOKUP(F25,'2. AWARDS'!$C$9:$O$35,13,FALSE)*(1+P25)*(1+(R25/9)),IF(AND(E25='2. AWARDS'!J$7,O25&gt;N25,O25&gt;Q25,VLOOKUP(F25,'2. AWARDS'!$C$9:$O$35,13,FALSE)=0),X25*(1+P25)*(1+(R25/9)),IF(AND(O25&lt;N25,O25&gt;Q25),X25*(1+P25)*(1+(R25/9)),IF(AND(E25='2. AWARDS'!F$7,O25=MAX(N25,Q25),VLOOKUP(F25,'2. AWARDS'!$C$9:$O$35,9,FALSE)&lt;&gt;0),VLOOKUP(F25,'2. AWARDS'!$C$9:$O$35,9,FALSE)*(1+P25)*(1+(R25/9)),IF(AND(E25='2. AWARDS'!F$7,O25=MAX(N25,Q25),VLOOKUP(F25,'2. AWARDS'!$C$9:$O$35,9,FALSE)=0),X25*(1+P25)*(1+(R25/9)),IF(AND(E25='2. AWARDS'!G$7,O25=MAX(N25,Q25),VLOOKUP(F25,'2. AWARDS'!$C$9:$O$35,10,FALSE)&lt;&gt;0),VLOOKUP(F25,'2. AWARDS'!$C$9:$O$35,10,FALSE)*(1+P25)*(1+(R25/9)),IF(AND(E25='2. AWARDS'!G$7,O25=MAX(N25,Q25),VLOOKUP(F25,'2. AWARDS'!$C$9:$O$35,10,FALSE)=0),X25*(1+P25)*(1+(R25/9)),IF(AND(E25='2. AWARDS'!H$7,O25=MAX(N25,Q25),VLOOKUP(F25,'2. AWARDS'!$C$9:$O$35,11,FALSE)&lt;&gt;0),VLOOKUP(F25,'2. AWARDS'!$C$9:$O$35,11,FALSE)*(1+P25)*(1+(R25/9)),IF(AND(E25='2. AWARDS'!H$7,O25=MAX(N25,Q25),VLOOKUP(F25,'2. AWARDS'!$C$9:$O$35,11,FALSE)=0),X25*(1+P25)*(1+(R25/9)),IF(AND(E25='2. AWARDS'!I$7,O25=MAX(N25,Q25),VLOOKUP(F25,'2. AWARDS'!$C$9:$O$35,12,FALSE)&lt;&gt;0),VLOOKUP(F25,'2. AWARDS'!$C$9:$O$35,12,FALSE)*(1+P25)*(1+(R25/9)),IF(AND(E25='2. AWARDS'!I$7,O25=MAX(N25,Q25),VLOOKUP(F25,'2. AWARDS'!$C$9:$O$35,12,FALSE)=0),X25*(1+P25)*(1+(R25/9)),IF(AND(E25='2. AWARDS'!J$7,O25=MAX(N25,Q25),VLOOKUP(F25,'2. AWARDS'!$C$9:$O$35,13,FALSE)&lt;&gt;0),VLOOKUP(F25,'2. AWARDS'!$C$9:$O$35,13,FALSE)*(1+P25)*(1+(R25/9)),IF(AND(E25='2. AWARDS'!J$7,O25=MAX(N25,Q25),VLOOKUP(F25,'2. AWARDS'!$C$9:$O$35,13,FALSE)=0),X25*(1+P25)*(1+(R25/9)),IF(AND(O25&lt;N25,O25&lt;Q25),X25*(1+P25),IF(AND(O25=N25,N25&lt;Q25,E25='2. AWARDS'!F$7),VLOOKUP(F25,'2. AWARDS'!$C$9:$O$35,9,FALSE)*(1+P25),IF(AND(O25=N25,N25&lt;Q25,E25='2. AWARDS'!G$7),VLOOKUP(F25,'2. AWARDS'!$C$9:$O$35,10,FALSE)*(1+P25),IF(AND(O25=N25,N25&lt;Q25,E25='2. AWARDS'!H$7),VLOOKUP(F25,'2. AWARDS'!$C$9:$O$35,11,FALSE)*(1+P25),IF(AND(O25=N25,N25&lt;Q25,E25='2. AWARDS'!I$7),VLOOKUP(F25,'2. AWARDS'!$C$9:$O$35,12,FALSE)*(1+P25),IF(AND(O25=N25,N25&lt;Q25,E25='2. AWARDS'!J$7),VLOOKUP(F25,'2. AWARDS'!$C$9:$O$35,13,FALSE)*(1+P25),IF(AND(O25=Q25,N25&gt;Q25),X25*(1+P25)*(1+(R25/9)),IF(AND(E25='2. AWARDS'!F$7,O25&gt;N25,O25&lt;Q25,VLOOKUP(F25,'2. AWARDS'!$C$9:$O$35,9,FALSE)&lt;&gt;0),VLOOKUP(F25,'2. AWARDS'!$C$9:$O$35,9,FALSE)*(1+P25),IF(AND(E25='2. AWARDS'!G$7,O25&gt;N25,O25&lt;Q25,VLOOKUP(F25,'2. AWARDS'!$C$9:$O$35,10,FALSE)&lt;&gt;0),VLOOKUP(F25,'2. AWARDS'!$C$9:$O$35,10,FALSE)*(1+P25),IF(AND(E25='2. AWARDS'!H$7,O25&gt;N25,O25&lt;Q25,VLOOKUP(F25,'2. AWARDS'!$C$9:$O$35,11,FALSE)&lt;&gt;0),VLOOKUP(F25,'2. AWARDS'!$C$9:$O$35,11,FALSE)*(1+P25),IF(AND(E25='2. AWARDS'!I$7,O25&gt;N25,O25&lt;Q25,VLOOKUP(F25,'2. AWARDS'!$C$9:$O$35,12,FALSE)&lt;&gt;0),VLOOKUP(F25,'2. AWARDS'!$C$9:$O$35,12,FALSE)*(1+P25),IF(AND(E25='2. AWARDS'!J$7,O25&gt;N25,O25&lt;Q25,VLOOKUP(F25,'2. AWARDS'!$C$9:$O$35,13,FALSE)&lt;&gt;0),VLOOKUP(F25,'2. AWARDS'!$C$9:$O$35,13,FALSE)*(1+P25),X25*(1+P25))))))))))))))))))))))))))))))))))</f>
        <v>#N/A</v>
      </c>
      <c r="AA25" s="661" t="e">
        <f t="shared" si="2"/>
        <v>#N/A</v>
      </c>
      <c r="AB25" s="683"/>
      <c r="AC25" s="774"/>
      <c r="AD25" s="774"/>
      <c r="AE25" s="774"/>
      <c r="AF25" s="781">
        <f t="shared" si="9"/>
        <v>0</v>
      </c>
      <c r="AG25" s="781" t="e">
        <f>HLOOKUP(E25,'2. AWARDS'!$F$7:$J$40,32,FALSE)/5*HLOOKUP(E25,'2. AWARDS'!$F$7:$J$40,31,FALSE)*MAX(W25:AA25)*M25*HLOOKUP(E25,'2. AWARDS'!$F$7:$J$40,34,FALSE)*L25/(38*2)</f>
        <v>#N/A</v>
      </c>
      <c r="AH25" s="783" t="e">
        <f>((HLOOKUP(E25,'2. AWARDS'!$F$7:$J$42,36,FALSE)/HLOOKUP(E25,'2. AWARDS'!$F$7:$J$42,35,FALSE)*HLOOKUP(E25,'2. AWARDS'!$F$7:$J$45,39,FALSE))/(HLOOKUP(E25,'2. AWARDS'!$F$7:$J$45,31,FALSE)*2)*L25*M25*HLOOKUP(E25,'2. AWARDS'!$F$7:$J$45,31,FALSE)*MAX(W25:AA25))</f>
        <v>#N/A</v>
      </c>
      <c r="AI25" s="474"/>
      <c r="AJ25" s="804"/>
      <c r="AK25" s="801"/>
      <c r="AL25" s="801"/>
      <c r="AM25" s="802"/>
      <c r="AN25" s="805"/>
      <c r="AO25" s="836">
        <f>IF(AJ25="YES",HLOOKUP(E25,'2. AWARDS'!$F$7:$J$38,32,FALSE)/5*HLOOKUP(E25,'2. AWARDS'!$F$7:$J$37,31,FALSE)*L25/(HLOOKUP(E25,'2. AWARDS'!$F$7:$J$37,31,FALSE)*2)*M25*MAX(W25:AA25)*(1+HLOOKUP(E25,'2. AWARDS'!$F$7:$J$43,37,FALSE))*(1-AM25),0)</f>
        <v>0</v>
      </c>
      <c r="AP25" s="836">
        <f>IF(AK25="YES",HLOOKUP(E25,'2. AWARDS'!$F$7:$J$39,33,FALSE)/5*HLOOKUP(E25,'2. AWARDS'!$F$7:$J$37,31,FALSE)*L25/(HLOOKUP(E25,'2. AWARDS'!$F$7:$J$37,31,FALSE)*2)*M25*MAX(W25:AA25)*(1+HLOOKUP(E25,'2. AWARDS'!$F$7:$J$43,37,FALSE))*(1-AM25),0)</f>
        <v>0</v>
      </c>
      <c r="AQ25" s="838">
        <f>IF(AL25="YES",HLOOKUP(E25,'2. AWARDS'!$F$7:$J$47,40,FALSE)/5*HLOOKUP(E25,'2. AWARDS'!$F$7:$J$37,31,FALSE)*L25/(HLOOKUP(E25,'2. AWARDS'!$F$7:$J$37,31,FALSE)*2)*M25*MAX(W25:AA25)*(1+HLOOKUP(E25,'2. AWARDS'!$F$7:$J$43,37,FALSE))*(1-AM25),0)</f>
        <v>0</v>
      </c>
      <c r="AR25" s="839">
        <f>(IF(AJ25="YES",HLOOKUP(E25,'2. AWARDS'!$F$7:$J$39,32,FALSE),0)+IF(AK25="YES",HLOOKUP(E25,'2. AWARDS'!$F$7:$J$39,33,FALSE),0)+IF(AL25="YES",HLOOKUP(E25,'2. AWARDS'!$F$7:$J$47,40,FALSE),0))*L25/76*7.6*AM25*AN25*M25</f>
        <v>0</v>
      </c>
      <c r="AS25" s="683"/>
      <c r="AT25" s="215">
        <f>'1. KEY DATA'!J$29</f>
        <v>0</v>
      </c>
      <c r="AU25" s="218">
        <f>'1. KEY DATA'!J$30</f>
        <v>0.09</v>
      </c>
      <c r="AV25" s="502"/>
      <c r="AW25" s="1104">
        <f t="shared" si="3"/>
        <v>0</v>
      </c>
      <c r="AX25" s="176"/>
      <c r="AY25" s="173"/>
      <c r="AZ25" s="452">
        <f t="shared" si="4"/>
        <v>0</v>
      </c>
      <c r="BA25" s="405" t="str">
        <f t="shared" si="10"/>
        <v>-</v>
      </c>
      <c r="BB25" s="406" t="str">
        <f t="shared" si="10"/>
        <v>-</v>
      </c>
      <c r="BC25" s="406" t="str">
        <f t="shared" si="10"/>
        <v>-</v>
      </c>
      <c r="BD25" s="406" t="str">
        <f t="shared" si="10"/>
        <v>-</v>
      </c>
      <c r="BE25" s="406" t="str">
        <f t="shared" si="10"/>
        <v>-</v>
      </c>
      <c r="BF25" s="406" t="str">
        <f t="shared" si="10"/>
        <v>-</v>
      </c>
      <c r="BG25" s="406" t="str">
        <f t="shared" si="10"/>
        <v>-</v>
      </c>
      <c r="BH25" s="406" t="str">
        <f t="shared" si="10"/>
        <v>-</v>
      </c>
      <c r="BI25" s="406" t="str">
        <f t="shared" si="10"/>
        <v>-</v>
      </c>
      <c r="BJ25" s="406" t="str">
        <f t="shared" si="10"/>
        <v>-</v>
      </c>
      <c r="BK25" s="406" t="str">
        <f t="shared" si="10"/>
        <v>-</v>
      </c>
      <c r="BL25" s="406" t="str">
        <f t="shared" si="10"/>
        <v>-</v>
      </c>
      <c r="BM25" s="406" t="str">
        <f t="shared" si="10"/>
        <v>-</v>
      </c>
      <c r="BN25" s="406" t="str">
        <f t="shared" si="10"/>
        <v>-</v>
      </c>
      <c r="BO25" s="407" t="str">
        <f t="shared" si="10"/>
        <v>-</v>
      </c>
      <c r="BP25" s="1539"/>
    </row>
    <row r="26" spans="2:68" s="9" customFormat="1">
      <c r="B26" s="505"/>
      <c r="C26" s="80"/>
      <c r="D26" s="699">
        <f t="shared" si="1"/>
        <v>0</v>
      </c>
      <c r="E26" s="626"/>
      <c r="F26" s="652"/>
      <c r="G26" s="702"/>
      <c r="H26" s="693"/>
      <c r="I26" s="694"/>
      <c r="J26" s="1113"/>
      <c r="K26" s="1114"/>
      <c r="L26" s="763"/>
      <c r="M26" s="689"/>
      <c r="N26" s="629"/>
      <c r="O26" s="629"/>
      <c r="P26" s="638">
        <f t="shared" si="6"/>
        <v>0.03</v>
      </c>
      <c r="Q26" s="629"/>
      <c r="R26" s="673" t="str">
        <f t="shared" si="7"/>
        <v>-</v>
      </c>
      <c r="S26" s="649"/>
      <c r="T26" s="647"/>
      <c r="U26" s="827"/>
      <c r="V26" s="670"/>
      <c r="W26" s="798">
        <f t="shared" si="8"/>
        <v>0</v>
      </c>
      <c r="X26" s="656">
        <f>IF(OR(E26=0,F26=0),0,IF(E26='2. AWARDS'!F$7,VLOOKUP(F26,'2. AWARDS'!$C$9:$F$35,4,FALSE),IF(E26='2. AWARDS'!G$7,VLOOKUP(F26,'2. AWARDS'!$C$9:$G$35,5,FALSE),IF(E26='2. AWARDS'!H$7,VLOOKUP(F26,'2. AWARDS'!$C$9:$H$35,6,FALSE),IF(E26='2. AWARDS'!I$7,VLOOKUP(F26,'2. AWARDS'!$C$9:$I$35,7,FALSE),VLOOKUP(F26,'2. AWARDS'!$C$9:$J$35,8,FALSE))))))</f>
        <v>0</v>
      </c>
      <c r="Y26" s="657">
        <f>IF(OR(E26=0,F26=0),0,IF(AND(N26=0,E26='2. AWARDS'!F$7,VLOOKUP(F26,'2. AWARDS'!$C$9:$O$35,9,FALSE)&lt;&gt;0),"date missing",IF(AND(N26=0,E26='2. AWARDS'!G$7,VLOOKUP(F26,'2. AWARDS'!$C$9:$O$35,10,FALSE)&lt;&gt;0),"date missing",IF(AND(N26=0,E26='2. AWARDS'!H$7,VLOOKUP(F26,'2. AWARDS'!$C$9:$O$35,11,FALSE)&lt;&gt;0),"date missing",IF(AND(N26=0,E26='2. AWARDS'!I$7,VLOOKUP(F26,'2. AWARDS'!$C$9:$O$35,12,FALSE)&lt;&gt;0),"date missing",IF(AND(N26=0,E26='2. AWARDS'!J$7,VLOOKUP(F26,'2. AWARDS'!$C$9:$O$35,13,FALSE)&lt;&gt;0),"date missing",IF(N26=0,0,IF(OR(N26=MIN(O26,Q26),AND(N26&lt;O26,N26&lt;Q26,N26&gt;0)),IF(E26='2. AWARDS'!F$7,VLOOKUP(F26,'2. AWARDS'!$C$9:$O$35,9,FALSE),IF(E26='2. AWARDS'!G$7,VLOOKUP(F26,'2. AWARDS'!$C$9:$O$35,10,FALSE),IF(E26='2. AWARDS'!H$7,VLOOKUP(F26,'2. AWARDS'!$C$9:$O$35,11,FALSE),IF(E26='2. AWARDS'!I$7,VLOOKUP(F26,'2. AWARDS'!$C$9:$O$35,12,FALSE),IF(E26='2. AWARDS'!J$7,VLOOKUP(F26,'2. AWARDS'!$C$9:$O$35,13,FALSE)))))),IF(AND(N26&gt;O26,N26&lt;Q26),IF(E26='2. AWARDS'!F$7,(1+P26)*VLOOKUP(F26,'2. AWARDS'!$C$9:$O$35,9,FALSE),IF(E26='2. AWARDS'!G$7,(1+P26)*VLOOKUP(F26,'2. AWARDS'!$C$9:$O$35,10,FALSE),IF(E26='2. AWARDS'!H$7,(1+P26)*VLOOKUP(F26,'2. AWARDS'!$C$9:$O$35,11,FALSE),IF(E26='2. AWARDS'!I$7,(1+P26)*VLOOKUP(F26,'2. AWARDS'!$C$9:$O$35,12,FALSE),IF(E26='2. AWARDS'!J$7,(1+P26)*VLOOKUP(F26,'2. AWARDS'!$C$9:$O$35,13,FALSE)))))),IF(AND(N26&lt;O26,N26&gt;Q26),IF(E26='2. AWARDS'!F$7,(1+(R26/9))*VLOOKUP(F26,'2. AWARDS'!$C$9:$O$35,9,FALSE),IF(E26='2. AWARDS'!G$7,(1+(R26/9))*VLOOKUP(F26,'2. AWARDS'!$C$9:$O$35,10,FALSE),IF(E26='2. AWARDS'!H$7,(1+(R26/9))*VLOOKUP(F26,'2. AWARDS'!$C$9:$O$35,11,FALSE),IF(E26='2. AWARDS'!I$7,(1+(R26/9))*VLOOKUP(F26,'2. AWARDS'!$C$9:$O$35,12,FALSE),IF(E26='2. AWARDS'!J$7,(1+(R26/9))*VLOOKUP(F26,'2. AWARDS'!$C$9:$O$35,13,FALSE)))))),IF(OR(N26=MAX(O26,Q26),AND(N26&gt;O26,N26&gt;Q26)),IF(E26='2. AWARDS'!F$7,((1+(R26/9))*(1+P26))*VLOOKUP(F26,'2. AWARDS'!$C$9:$O$35,9,FALSE),IF(E26='2. AWARDS'!G$7,((1+(R26/9))*(1+P26))*VLOOKUP(F26,'2. AWARDS'!$C$9:$O$35,10,FALSE),IF(E26='2. AWARDS'!H$7,((1+(R26/9))*(1+P26))*VLOOKUP(F26,'2. AWARDS'!$C$9:$O$35,11,FALSE),IF(E26='2. AWARDS'!I$7,((1+(R26/9))*(1+P26))*VLOOKUP(F26,'2. AWARDS'!$C$9:$O$35,12,FALSE),IF(E26='2. AWARDS'!J$7,((1+(R26/9))*(1+P26))*VLOOKUP(F26,'2. AWARDS'!$C$9:$O$35,13,FALSE)))))),"?")))))))))))</f>
        <v>0</v>
      </c>
      <c r="Z26" s="656" t="e">
        <f>IF(AND(E26='2. AWARDS'!F$7,O26&gt;N26,O26&gt;Q26,VLOOKUP(F26,'2. AWARDS'!$C$9:$O$35,9,FALSE)&lt;&gt;0),VLOOKUP(F26,'2. AWARDS'!$C$9:$O$35,9,FALSE)*(1+P26)*(1+(R26/9)),IF(AND(E26='2. AWARDS'!F$7,O26&gt;N26,O26&gt;Q26,VLOOKUP(F26,'2. AWARDS'!$C$9:$O$35,9,FALSE)=0),X26*(1+P26)*(1+(R26/9)),IF(AND(E26='2. AWARDS'!G$7,O26&gt;N26,O26&gt;Q26,VLOOKUP(F26,'2. AWARDS'!$C$9:$O$35,10,FALSE)&lt;&gt;0),VLOOKUP(F26,'2. AWARDS'!$C$9:$O$35,10,FALSE)*(1+P26)*(1+(R26/9)),IF(AND(E26='2. AWARDS'!G$7,O26&gt;N26,O26&gt;Q26,VLOOKUP(F26,'2. AWARDS'!$C$9:$O$35,10,FALSE)=0),X26*(1+P26)*(1+(R26/9)),IF(AND(E26='2. AWARDS'!H$7,O26&gt;N26,O26&gt;Q26,VLOOKUP(F26,'2. AWARDS'!$C$9:$O$35,11,FALSE)&lt;&gt;0),VLOOKUP(F26,'2. AWARDS'!$C$9:$O$35,11,FALSE)*(1+P26)*(1+(R26/9)),IF(AND(E26='2. AWARDS'!H$7,O26&gt;N26,O26&gt;Q26,VLOOKUP(F26,'2. AWARDS'!$C$9:$O$35,11,FALSE)=0),X26*(1+P26)*(1+(R26/9)),IF(AND(E26='2. AWARDS'!I$7,O26&gt;N26,O26&gt;Q26,VLOOKUP(F26,'2. AWARDS'!$C$9:$O$35,12,FALSE)&lt;&gt;0),VLOOKUP(F26,'2. AWARDS'!$C$9:$O$35,12,FALSE)*(1+P26)*(1+(R26/9)),IF(AND(E26='2. AWARDS'!I$7,O26&gt;N26,O26&gt;Q26,VLOOKUP(F26,'2. AWARDS'!$C$9:$O$35,12,FALSE)=0),X26*(1+P26)*(1+(R26/9)),IF(AND(E26='2. AWARDS'!J$7,O26&gt;N26,O26&gt;Q26,VLOOKUP(F26,'2. AWARDS'!$C$9:$O$35,13,FALSE)&lt;&gt;0),VLOOKUP(F26,'2. AWARDS'!$C$9:$O$35,13,FALSE)*(1+P26)*(1+(R26/9)),IF(AND(E26='2. AWARDS'!J$7,O26&gt;N26,O26&gt;Q26,VLOOKUP(F26,'2. AWARDS'!$C$9:$O$35,13,FALSE)=0),X26*(1+P26)*(1+(R26/9)),IF(AND(O26&lt;N26,O26&gt;Q26),X26*(1+P26)*(1+(R26/9)),IF(AND(E26='2. AWARDS'!F$7,O26=MAX(N26,Q26),VLOOKUP(F26,'2. AWARDS'!$C$9:$O$35,9,FALSE)&lt;&gt;0),VLOOKUP(F26,'2. AWARDS'!$C$9:$O$35,9,FALSE)*(1+P26)*(1+(R26/9)),IF(AND(E26='2. AWARDS'!F$7,O26=MAX(N26,Q26),VLOOKUP(F26,'2. AWARDS'!$C$9:$O$35,9,FALSE)=0),X26*(1+P26)*(1+(R26/9)),IF(AND(E26='2. AWARDS'!G$7,O26=MAX(N26,Q26),VLOOKUP(F26,'2. AWARDS'!$C$9:$O$35,10,FALSE)&lt;&gt;0),VLOOKUP(F26,'2. AWARDS'!$C$9:$O$35,10,FALSE)*(1+P26)*(1+(R26/9)),IF(AND(E26='2. AWARDS'!G$7,O26=MAX(N26,Q26),VLOOKUP(F26,'2. AWARDS'!$C$9:$O$35,10,FALSE)=0),X26*(1+P26)*(1+(R26/9)),IF(AND(E26='2. AWARDS'!H$7,O26=MAX(N26,Q26),VLOOKUP(F26,'2. AWARDS'!$C$9:$O$35,11,FALSE)&lt;&gt;0),VLOOKUP(F26,'2. AWARDS'!$C$9:$O$35,11,FALSE)*(1+P26)*(1+(R26/9)),IF(AND(E26='2. AWARDS'!H$7,O26=MAX(N26,Q26),VLOOKUP(F26,'2. AWARDS'!$C$9:$O$35,11,FALSE)=0),X26*(1+P26)*(1+(R26/9)),IF(AND(E26='2. AWARDS'!I$7,O26=MAX(N26,Q26),VLOOKUP(F26,'2. AWARDS'!$C$9:$O$35,12,FALSE)&lt;&gt;0),VLOOKUP(F26,'2. AWARDS'!$C$9:$O$35,12,FALSE)*(1+P26)*(1+(R26/9)),IF(AND(E26='2. AWARDS'!I$7,O26=MAX(N26,Q26),VLOOKUP(F26,'2. AWARDS'!$C$9:$O$35,12,FALSE)=0),X26*(1+P26)*(1+(R26/9)),IF(AND(E26='2. AWARDS'!J$7,O26=MAX(N26,Q26),VLOOKUP(F26,'2. AWARDS'!$C$9:$O$35,13,FALSE)&lt;&gt;0),VLOOKUP(F26,'2. AWARDS'!$C$9:$O$35,13,FALSE)*(1+P26)*(1+(R26/9)),IF(AND(E26='2. AWARDS'!J$7,O26=MAX(N26,Q26),VLOOKUP(F26,'2. AWARDS'!$C$9:$O$35,13,FALSE)=0),X26*(1+P26)*(1+(R26/9)),IF(AND(O26&lt;N26,O26&lt;Q26),X26*(1+P26),IF(AND(O26=N26,N26&lt;Q26,E26='2. AWARDS'!F$7),VLOOKUP(F26,'2. AWARDS'!$C$9:$O$35,9,FALSE)*(1+P26),IF(AND(O26=N26,N26&lt;Q26,E26='2. AWARDS'!G$7),VLOOKUP(F26,'2. AWARDS'!$C$9:$O$35,10,FALSE)*(1+P26),IF(AND(O26=N26,N26&lt;Q26,E26='2. AWARDS'!H$7),VLOOKUP(F26,'2. AWARDS'!$C$9:$O$35,11,FALSE)*(1+P26),IF(AND(O26=N26,N26&lt;Q26,E26='2. AWARDS'!I$7),VLOOKUP(F26,'2. AWARDS'!$C$9:$O$35,12,FALSE)*(1+P26),IF(AND(O26=N26,N26&lt;Q26,E26='2. AWARDS'!J$7),VLOOKUP(F26,'2. AWARDS'!$C$9:$O$35,13,FALSE)*(1+P26),IF(AND(O26=Q26,N26&gt;Q26),X26*(1+P26)*(1+(R26/9)),IF(AND(E26='2. AWARDS'!F$7,O26&gt;N26,O26&lt;Q26,VLOOKUP(F26,'2. AWARDS'!$C$9:$O$35,9,FALSE)&lt;&gt;0),VLOOKUP(F26,'2. AWARDS'!$C$9:$O$35,9,FALSE)*(1+P26),IF(AND(E26='2. AWARDS'!G$7,O26&gt;N26,O26&lt;Q26,VLOOKUP(F26,'2. AWARDS'!$C$9:$O$35,10,FALSE)&lt;&gt;0),VLOOKUP(F26,'2. AWARDS'!$C$9:$O$35,10,FALSE)*(1+P26),IF(AND(E26='2. AWARDS'!H$7,O26&gt;N26,O26&lt;Q26,VLOOKUP(F26,'2. AWARDS'!$C$9:$O$35,11,FALSE)&lt;&gt;0),VLOOKUP(F26,'2. AWARDS'!$C$9:$O$35,11,FALSE)*(1+P26),IF(AND(E26='2. AWARDS'!I$7,O26&gt;N26,O26&lt;Q26,VLOOKUP(F26,'2. AWARDS'!$C$9:$O$35,12,FALSE)&lt;&gt;0),VLOOKUP(F26,'2. AWARDS'!$C$9:$O$35,12,FALSE)*(1+P26),IF(AND(E26='2. AWARDS'!J$7,O26&gt;N26,O26&lt;Q26,VLOOKUP(F26,'2. AWARDS'!$C$9:$O$35,13,FALSE)&lt;&gt;0),VLOOKUP(F26,'2. AWARDS'!$C$9:$O$35,13,FALSE)*(1+P26),X26*(1+P26))))))))))))))))))))))))))))))))))</f>
        <v>#N/A</v>
      </c>
      <c r="AA26" s="661" t="e">
        <f t="shared" si="2"/>
        <v>#N/A</v>
      </c>
      <c r="AB26" s="683"/>
      <c r="AC26" s="774"/>
      <c r="AD26" s="774"/>
      <c r="AE26" s="774"/>
      <c r="AF26" s="781">
        <f t="shared" si="9"/>
        <v>0</v>
      </c>
      <c r="AG26" s="781" t="e">
        <f>HLOOKUP(E26,'2. AWARDS'!$F$7:$J$40,32,FALSE)/5*HLOOKUP(E26,'2. AWARDS'!$F$7:$J$40,31,FALSE)*MAX(W26:AA26)*M26*HLOOKUP(E26,'2. AWARDS'!$F$7:$J$40,34,FALSE)*L26/(38*2)</f>
        <v>#N/A</v>
      </c>
      <c r="AH26" s="783" t="e">
        <f>((HLOOKUP(E26,'2. AWARDS'!$F$7:$J$42,36,FALSE)/HLOOKUP(E26,'2. AWARDS'!$F$7:$J$42,35,FALSE)*HLOOKUP(E26,'2. AWARDS'!$F$7:$J$45,39,FALSE))/(HLOOKUP(E26,'2. AWARDS'!$F$7:$J$45,31,FALSE)*2)*L26*M26*HLOOKUP(E26,'2. AWARDS'!$F$7:$J$45,31,FALSE)*MAX(W26:AA26))</f>
        <v>#N/A</v>
      </c>
      <c r="AI26" s="474"/>
      <c r="AJ26" s="804"/>
      <c r="AK26" s="801"/>
      <c r="AL26" s="801"/>
      <c r="AM26" s="802"/>
      <c r="AN26" s="805"/>
      <c r="AO26" s="836">
        <f>IF(AJ26="YES",HLOOKUP(E26,'2. AWARDS'!$F$7:$J$38,32,FALSE)/5*HLOOKUP(E26,'2. AWARDS'!$F$7:$J$37,31,FALSE)*L26/(HLOOKUP(E26,'2. AWARDS'!$F$7:$J$37,31,FALSE)*2)*M26*MAX(W26:AA26)*(1+HLOOKUP(E26,'2. AWARDS'!$F$7:$J$43,37,FALSE))*(1-AM26),0)</f>
        <v>0</v>
      </c>
      <c r="AP26" s="836">
        <f>IF(AK26="YES",HLOOKUP(E26,'2. AWARDS'!$F$7:$J$39,33,FALSE)/5*HLOOKUP(E26,'2. AWARDS'!$F$7:$J$37,31,FALSE)*L26/(HLOOKUP(E26,'2. AWARDS'!$F$7:$J$37,31,FALSE)*2)*M26*MAX(W26:AA26)*(1+HLOOKUP(E26,'2. AWARDS'!$F$7:$J$43,37,FALSE))*(1-AM26),0)</f>
        <v>0</v>
      </c>
      <c r="AQ26" s="838">
        <f>IF(AL26="YES",HLOOKUP(E26,'2. AWARDS'!$F$7:$J$47,40,FALSE)/5*HLOOKUP(E26,'2. AWARDS'!$F$7:$J$37,31,FALSE)*L26/(HLOOKUP(E26,'2. AWARDS'!$F$7:$J$37,31,FALSE)*2)*M26*MAX(W26:AA26)*(1+HLOOKUP(E26,'2. AWARDS'!$F$7:$J$43,37,FALSE))*(1-AM26),0)</f>
        <v>0</v>
      </c>
      <c r="AR26" s="839">
        <f>(IF(AJ26="YES",HLOOKUP(E26,'2. AWARDS'!$F$7:$J$39,32,FALSE),0)+IF(AK26="YES",HLOOKUP(E26,'2. AWARDS'!$F$7:$J$39,33,FALSE),0)+IF(AL26="YES",HLOOKUP(E26,'2. AWARDS'!$F$7:$J$47,40,FALSE),0))*L26/76*7.6*AM26*AN26*M26</f>
        <v>0</v>
      </c>
      <c r="AS26" s="683"/>
      <c r="AT26" s="215">
        <f>'1. KEY DATA'!J$29</f>
        <v>0</v>
      </c>
      <c r="AU26" s="218">
        <f>'1. KEY DATA'!J$30</f>
        <v>0.09</v>
      </c>
      <c r="AV26" s="502"/>
      <c r="AW26" s="1104">
        <f t="shared" si="3"/>
        <v>0</v>
      </c>
      <c r="AX26" s="176"/>
      <c r="AY26" s="173"/>
      <c r="AZ26" s="452">
        <f t="shared" si="4"/>
        <v>0</v>
      </c>
      <c r="BA26" s="405" t="str">
        <f t="shared" si="10"/>
        <v>-</v>
      </c>
      <c r="BB26" s="406" t="str">
        <f t="shared" si="10"/>
        <v>-</v>
      </c>
      <c r="BC26" s="406" t="str">
        <f t="shared" si="10"/>
        <v>-</v>
      </c>
      <c r="BD26" s="406" t="str">
        <f t="shared" si="10"/>
        <v>-</v>
      </c>
      <c r="BE26" s="406" t="str">
        <f t="shared" si="10"/>
        <v>-</v>
      </c>
      <c r="BF26" s="406" t="str">
        <f t="shared" si="10"/>
        <v>-</v>
      </c>
      <c r="BG26" s="406" t="str">
        <f t="shared" si="10"/>
        <v>-</v>
      </c>
      <c r="BH26" s="406" t="str">
        <f t="shared" si="10"/>
        <v>-</v>
      </c>
      <c r="BI26" s="406" t="str">
        <f t="shared" si="10"/>
        <v>-</v>
      </c>
      <c r="BJ26" s="406" t="str">
        <f t="shared" si="10"/>
        <v>-</v>
      </c>
      <c r="BK26" s="406" t="str">
        <f t="shared" si="10"/>
        <v>-</v>
      </c>
      <c r="BL26" s="406" t="str">
        <f t="shared" si="10"/>
        <v>-</v>
      </c>
      <c r="BM26" s="406" t="str">
        <f t="shared" si="10"/>
        <v>-</v>
      </c>
      <c r="BN26" s="406" t="str">
        <f t="shared" si="10"/>
        <v>-</v>
      </c>
      <c r="BO26" s="407" t="str">
        <f t="shared" si="10"/>
        <v>-</v>
      </c>
      <c r="BP26" s="1539"/>
    </row>
    <row r="27" spans="2:68" s="9" customFormat="1">
      <c r="B27" s="505"/>
      <c r="C27" s="80"/>
      <c r="D27" s="699">
        <f t="shared" si="1"/>
        <v>0</v>
      </c>
      <c r="E27" s="626"/>
      <c r="F27" s="652"/>
      <c r="G27" s="702"/>
      <c r="H27" s="693"/>
      <c r="I27" s="694"/>
      <c r="J27" s="1113"/>
      <c r="K27" s="1114"/>
      <c r="L27" s="763"/>
      <c r="M27" s="689"/>
      <c r="N27" s="629"/>
      <c r="O27" s="629"/>
      <c r="P27" s="638">
        <f t="shared" si="6"/>
        <v>0.03</v>
      </c>
      <c r="Q27" s="629"/>
      <c r="R27" s="673" t="str">
        <f t="shared" si="7"/>
        <v>-</v>
      </c>
      <c r="S27" s="649"/>
      <c r="T27" s="647"/>
      <c r="U27" s="827"/>
      <c r="V27" s="670"/>
      <c r="W27" s="798">
        <f t="shared" si="8"/>
        <v>0</v>
      </c>
      <c r="X27" s="656">
        <f>IF(OR(E27=0,F27=0),0,IF(E27='2. AWARDS'!F$7,VLOOKUP(F27,'2. AWARDS'!$C$9:$F$35,4,FALSE),IF(E27='2. AWARDS'!G$7,VLOOKUP(F27,'2. AWARDS'!$C$9:$G$35,5,FALSE),IF(E27='2. AWARDS'!H$7,VLOOKUP(F27,'2. AWARDS'!$C$9:$H$35,6,FALSE),IF(E27='2. AWARDS'!I$7,VLOOKUP(F27,'2. AWARDS'!$C$9:$I$35,7,FALSE),VLOOKUP(F27,'2. AWARDS'!$C$9:$J$35,8,FALSE))))))</f>
        <v>0</v>
      </c>
      <c r="Y27" s="657">
        <f>IF(OR(E27=0,F27=0),0,IF(AND(N27=0,E27='2. AWARDS'!F$7,VLOOKUP(F27,'2. AWARDS'!$C$9:$O$35,9,FALSE)&lt;&gt;0),"date missing",IF(AND(N27=0,E27='2. AWARDS'!G$7,VLOOKUP(F27,'2. AWARDS'!$C$9:$O$35,10,FALSE)&lt;&gt;0),"date missing",IF(AND(N27=0,E27='2. AWARDS'!H$7,VLOOKUP(F27,'2. AWARDS'!$C$9:$O$35,11,FALSE)&lt;&gt;0),"date missing",IF(AND(N27=0,E27='2. AWARDS'!I$7,VLOOKUP(F27,'2. AWARDS'!$C$9:$O$35,12,FALSE)&lt;&gt;0),"date missing",IF(AND(N27=0,E27='2. AWARDS'!J$7,VLOOKUP(F27,'2. AWARDS'!$C$9:$O$35,13,FALSE)&lt;&gt;0),"date missing",IF(N27=0,0,IF(OR(N27=MIN(O27,Q27),AND(N27&lt;O27,N27&lt;Q27,N27&gt;0)),IF(E27='2. AWARDS'!F$7,VLOOKUP(F27,'2. AWARDS'!$C$9:$O$35,9,FALSE),IF(E27='2. AWARDS'!G$7,VLOOKUP(F27,'2. AWARDS'!$C$9:$O$35,10,FALSE),IF(E27='2. AWARDS'!H$7,VLOOKUP(F27,'2. AWARDS'!$C$9:$O$35,11,FALSE),IF(E27='2. AWARDS'!I$7,VLOOKUP(F27,'2. AWARDS'!$C$9:$O$35,12,FALSE),IF(E27='2. AWARDS'!J$7,VLOOKUP(F27,'2. AWARDS'!$C$9:$O$35,13,FALSE)))))),IF(AND(N27&gt;O27,N27&lt;Q27),IF(E27='2. AWARDS'!F$7,(1+P27)*VLOOKUP(F27,'2. AWARDS'!$C$9:$O$35,9,FALSE),IF(E27='2. AWARDS'!G$7,(1+P27)*VLOOKUP(F27,'2. AWARDS'!$C$9:$O$35,10,FALSE),IF(E27='2. AWARDS'!H$7,(1+P27)*VLOOKUP(F27,'2. AWARDS'!$C$9:$O$35,11,FALSE),IF(E27='2. AWARDS'!I$7,(1+P27)*VLOOKUP(F27,'2. AWARDS'!$C$9:$O$35,12,FALSE),IF(E27='2. AWARDS'!J$7,(1+P27)*VLOOKUP(F27,'2. AWARDS'!$C$9:$O$35,13,FALSE)))))),IF(AND(N27&lt;O27,N27&gt;Q27),IF(E27='2. AWARDS'!F$7,(1+(R27/9))*VLOOKUP(F27,'2. AWARDS'!$C$9:$O$35,9,FALSE),IF(E27='2. AWARDS'!G$7,(1+(R27/9))*VLOOKUP(F27,'2. AWARDS'!$C$9:$O$35,10,FALSE),IF(E27='2. AWARDS'!H$7,(1+(R27/9))*VLOOKUP(F27,'2. AWARDS'!$C$9:$O$35,11,FALSE),IF(E27='2. AWARDS'!I$7,(1+(R27/9))*VLOOKUP(F27,'2. AWARDS'!$C$9:$O$35,12,FALSE),IF(E27='2. AWARDS'!J$7,(1+(R27/9))*VLOOKUP(F27,'2. AWARDS'!$C$9:$O$35,13,FALSE)))))),IF(OR(N27=MAX(O27,Q27),AND(N27&gt;O27,N27&gt;Q27)),IF(E27='2. AWARDS'!F$7,((1+(R27/9))*(1+P27))*VLOOKUP(F27,'2. AWARDS'!$C$9:$O$35,9,FALSE),IF(E27='2. AWARDS'!G$7,((1+(R27/9))*(1+P27))*VLOOKUP(F27,'2. AWARDS'!$C$9:$O$35,10,FALSE),IF(E27='2. AWARDS'!H$7,((1+(R27/9))*(1+P27))*VLOOKUP(F27,'2. AWARDS'!$C$9:$O$35,11,FALSE),IF(E27='2. AWARDS'!I$7,((1+(R27/9))*(1+P27))*VLOOKUP(F27,'2. AWARDS'!$C$9:$O$35,12,FALSE),IF(E27='2. AWARDS'!J$7,((1+(R27/9))*(1+P27))*VLOOKUP(F27,'2. AWARDS'!$C$9:$O$35,13,FALSE)))))),"?")))))))))))</f>
        <v>0</v>
      </c>
      <c r="Z27" s="656" t="e">
        <f>IF(AND(E27='2. AWARDS'!F$7,O27&gt;N27,O27&gt;Q27,VLOOKUP(F27,'2. AWARDS'!$C$9:$O$35,9,FALSE)&lt;&gt;0),VLOOKUP(F27,'2. AWARDS'!$C$9:$O$35,9,FALSE)*(1+P27)*(1+(R27/9)),IF(AND(E27='2. AWARDS'!F$7,O27&gt;N27,O27&gt;Q27,VLOOKUP(F27,'2. AWARDS'!$C$9:$O$35,9,FALSE)=0),X27*(1+P27)*(1+(R27/9)),IF(AND(E27='2. AWARDS'!G$7,O27&gt;N27,O27&gt;Q27,VLOOKUP(F27,'2. AWARDS'!$C$9:$O$35,10,FALSE)&lt;&gt;0),VLOOKUP(F27,'2. AWARDS'!$C$9:$O$35,10,FALSE)*(1+P27)*(1+(R27/9)),IF(AND(E27='2. AWARDS'!G$7,O27&gt;N27,O27&gt;Q27,VLOOKUP(F27,'2. AWARDS'!$C$9:$O$35,10,FALSE)=0),X27*(1+P27)*(1+(R27/9)),IF(AND(E27='2. AWARDS'!H$7,O27&gt;N27,O27&gt;Q27,VLOOKUP(F27,'2. AWARDS'!$C$9:$O$35,11,FALSE)&lt;&gt;0),VLOOKUP(F27,'2. AWARDS'!$C$9:$O$35,11,FALSE)*(1+P27)*(1+(R27/9)),IF(AND(E27='2. AWARDS'!H$7,O27&gt;N27,O27&gt;Q27,VLOOKUP(F27,'2. AWARDS'!$C$9:$O$35,11,FALSE)=0),X27*(1+P27)*(1+(R27/9)),IF(AND(E27='2. AWARDS'!I$7,O27&gt;N27,O27&gt;Q27,VLOOKUP(F27,'2. AWARDS'!$C$9:$O$35,12,FALSE)&lt;&gt;0),VLOOKUP(F27,'2. AWARDS'!$C$9:$O$35,12,FALSE)*(1+P27)*(1+(R27/9)),IF(AND(E27='2. AWARDS'!I$7,O27&gt;N27,O27&gt;Q27,VLOOKUP(F27,'2. AWARDS'!$C$9:$O$35,12,FALSE)=0),X27*(1+P27)*(1+(R27/9)),IF(AND(E27='2. AWARDS'!J$7,O27&gt;N27,O27&gt;Q27,VLOOKUP(F27,'2. AWARDS'!$C$9:$O$35,13,FALSE)&lt;&gt;0),VLOOKUP(F27,'2. AWARDS'!$C$9:$O$35,13,FALSE)*(1+P27)*(1+(R27/9)),IF(AND(E27='2. AWARDS'!J$7,O27&gt;N27,O27&gt;Q27,VLOOKUP(F27,'2. AWARDS'!$C$9:$O$35,13,FALSE)=0),X27*(1+P27)*(1+(R27/9)),IF(AND(O27&lt;N27,O27&gt;Q27),X27*(1+P27)*(1+(R27/9)),IF(AND(E27='2. AWARDS'!F$7,O27=MAX(N27,Q27),VLOOKUP(F27,'2. AWARDS'!$C$9:$O$35,9,FALSE)&lt;&gt;0),VLOOKUP(F27,'2. AWARDS'!$C$9:$O$35,9,FALSE)*(1+P27)*(1+(R27/9)),IF(AND(E27='2. AWARDS'!F$7,O27=MAX(N27,Q27),VLOOKUP(F27,'2. AWARDS'!$C$9:$O$35,9,FALSE)=0),X27*(1+P27)*(1+(R27/9)),IF(AND(E27='2. AWARDS'!G$7,O27=MAX(N27,Q27),VLOOKUP(F27,'2. AWARDS'!$C$9:$O$35,10,FALSE)&lt;&gt;0),VLOOKUP(F27,'2. AWARDS'!$C$9:$O$35,10,FALSE)*(1+P27)*(1+(R27/9)),IF(AND(E27='2. AWARDS'!G$7,O27=MAX(N27,Q27),VLOOKUP(F27,'2. AWARDS'!$C$9:$O$35,10,FALSE)=0),X27*(1+P27)*(1+(R27/9)),IF(AND(E27='2. AWARDS'!H$7,O27=MAX(N27,Q27),VLOOKUP(F27,'2. AWARDS'!$C$9:$O$35,11,FALSE)&lt;&gt;0),VLOOKUP(F27,'2. AWARDS'!$C$9:$O$35,11,FALSE)*(1+P27)*(1+(R27/9)),IF(AND(E27='2. AWARDS'!H$7,O27=MAX(N27,Q27),VLOOKUP(F27,'2. AWARDS'!$C$9:$O$35,11,FALSE)=0),X27*(1+P27)*(1+(R27/9)),IF(AND(E27='2. AWARDS'!I$7,O27=MAX(N27,Q27),VLOOKUP(F27,'2. AWARDS'!$C$9:$O$35,12,FALSE)&lt;&gt;0),VLOOKUP(F27,'2. AWARDS'!$C$9:$O$35,12,FALSE)*(1+P27)*(1+(R27/9)),IF(AND(E27='2. AWARDS'!I$7,O27=MAX(N27,Q27),VLOOKUP(F27,'2. AWARDS'!$C$9:$O$35,12,FALSE)=0),X27*(1+P27)*(1+(R27/9)),IF(AND(E27='2. AWARDS'!J$7,O27=MAX(N27,Q27),VLOOKUP(F27,'2. AWARDS'!$C$9:$O$35,13,FALSE)&lt;&gt;0),VLOOKUP(F27,'2. AWARDS'!$C$9:$O$35,13,FALSE)*(1+P27)*(1+(R27/9)),IF(AND(E27='2. AWARDS'!J$7,O27=MAX(N27,Q27),VLOOKUP(F27,'2. AWARDS'!$C$9:$O$35,13,FALSE)=0),X27*(1+P27)*(1+(R27/9)),IF(AND(O27&lt;N27,O27&lt;Q27),X27*(1+P27),IF(AND(O27=N27,N27&lt;Q27,E27='2. AWARDS'!F$7),VLOOKUP(F27,'2. AWARDS'!$C$9:$O$35,9,FALSE)*(1+P27),IF(AND(O27=N27,N27&lt;Q27,E27='2. AWARDS'!G$7),VLOOKUP(F27,'2. AWARDS'!$C$9:$O$35,10,FALSE)*(1+P27),IF(AND(O27=N27,N27&lt;Q27,E27='2. AWARDS'!H$7),VLOOKUP(F27,'2. AWARDS'!$C$9:$O$35,11,FALSE)*(1+P27),IF(AND(O27=N27,N27&lt;Q27,E27='2. AWARDS'!I$7),VLOOKUP(F27,'2. AWARDS'!$C$9:$O$35,12,FALSE)*(1+P27),IF(AND(O27=N27,N27&lt;Q27,E27='2. AWARDS'!J$7),VLOOKUP(F27,'2. AWARDS'!$C$9:$O$35,13,FALSE)*(1+P27),IF(AND(O27=Q27,N27&gt;Q27),X27*(1+P27)*(1+(R27/9)),IF(AND(E27='2. AWARDS'!F$7,O27&gt;N27,O27&lt;Q27,VLOOKUP(F27,'2. AWARDS'!$C$9:$O$35,9,FALSE)&lt;&gt;0),VLOOKUP(F27,'2. AWARDS'!$C$9:$O$35,9,FALSE)*(1+P27),IF(AND(E27='2. AWARDS'!G$7,O27&gt;N27,O27&lt;Q27,VLOOKUP(F27,'2. AWARDS'!$C$9:$O$35,10,FALSE)&lt;&gt;0),VLOOKUP(F27,'2. AWARDS'!$C$9:$O$35,10,FALSE)*(1+P27),IF(AND(E27='2. AWARDS'!H$7,O27&gt;N27,O27&lt;Q27,VLOOKUP(F27,'2. AWARDS'!$C$9:$O$35,11,FALSE)&lt;&gt;0),VLOOKUP(F27,'2. AWARDS'!$C$9:$O$35,11,FALSE)*(1+P27),IF(AND(E27='2. AWARDS'!I$7,O27&gt;N27,O27&lt;Q27,VLOOKUP(F27,'2. AWARDS'!$C$9:$O$35,12,FALSE)&lt;&gt;0),VLOOKUP(F27,'2. AWARDS'!$C$9:$O$35,12,FALSE)*(1+P27),IF(AND(E27='2. AWARDS'!J$7,O27&gt;N27,O27&lt;Q27,VLOOKUP(F27,'2. AWARDS'!$C$9:$O$35,13,FALSE)&lt;&gt;0),VLOOKUP(F27,'2. AWARDS'!$C$9:$O$35,13,FALSE)*(1+P27),X27*(1+P27))))))))))))))))))))))))))))))))))</f>
        <v>#N/A</v>
      </c>
      <c r="AA27" s="661" t="e">
        <f t="shared" si="2"/>
        <v>#N/A</v>
      </c>
      <c r="AB27" s="683"/>
      <c r="AC27" s="774"/>
      <c r="AD27" s="774"/>
      <c r="AE27" s="774"/>
      <c r="AF27" s="781">
        <f t="shared" si="9"/>
        <v>0</v>
      </c>
      <c r="AG27" s="781" t="e">
        <f>HLOOKUP(E27,'2. AWARDS'!$F$7:$J$40,32,FALSE)/5*HLOOKUP(E27,'2. AWARDS'!$F$7:$J$40,31,FALSE)*MAX(W27:AA27)*M27*HLOOKUP(E27,'2. AWARDS'!$F$7:$J$40,34,FALSE)*L27/(38*2)</f>
        <v>#N/A</v>
      </c>
      <c r="AH27" s="783" t="e">
        <f>((HLOOKUP(E27,'2. AWARDS'!$F$7:$J$42,36,FALSE)/HLOOKUP(E27,'2. AWARDS'!$F$7:$J$42,35,FALSE)*HLOOKUP(E27,'2. AWARDS'!$F$7:$J$45,39,FALSE))/(HLOOKUP(E27,'2. AWARDS'!$F$7:$J$45,31,FALSE)*2)*L27*M27*HLOOKUP(E27,'2. AWARDS'!$F$7:$J$45,31,FALSE)*MAX(W27:AA27))</f>
        <v>#N/A</v>
      </c>
      <c r="AI27" s="474"/>
      <c r="AJ27" s="804"/>
      <c r="AK27" s="801"/>
      <c r="AL27" s="801"/>
      <c r="AM27" s="802"/>
      <c r="AN27" s="805"/>
      <c r="AO27" s="836">
        <f>IF(AJ27="YES",HLOOKUP(E27,'2. AWARDS'!$F$7:$J$38,32,FALSE)/5*HLOOKUP(E27,'2. AWARDS'!$F$7:$J$37,31,FALSE)*L27/(HLOOKUP(E27,'2. AWARDS'!$F$7:$J$37,31,FALSE)*2)*M27*MAX(W27:AA27)*(1+HLOOKUP(E27,'2. AWARDS'!$F$7:$J$43,37,FALSE))*(1-AM27),0)</f>
        <v>0</v>
      </c>
      <c r="AP27" s="836">
        <f>IF(AK27="YES",HLOOKUP(E27,'2. AWARDS'!$F$7:$J$39,33,FALSE)/5*HLOOKUP(E27,'2. AWARDS'!$F$7:$J$37,31,FALSE)*L27/(HLOOKUP(E27,'2. AWARDS'!$F$7:$J$37,31,FALSE)*2)*M27*MAX(W27:AA27)*(1+HLOOKUP(E27,'2. AWARDS'!$F$7:$J$43,37,FALSE))*(1-AM27),0)</f>
        <v>0</v>
      </c>
      <c r="AQ27" s="838">
        <f>IF(AL27="YES",HLOOKUP(E27,'2. AWARDS'!$F$7:$J$47,40,FALSE)/5*HLOOKUP(E27,'2. AWARDS'!$F$7:$J$37,31,FALSE)*L27/(HLOOKUP(E27,'2. AWARDS'!$F$7:$J$37,31,FALSE)*2)*M27*MAX(W27:AA27)*(1+HLOOKUP(E27,'2. AWARDS'!$F$7:$J$43,37,FALSE))*(1-AM27),0)</f>
        <v>0</v>
      </c>
      <c r="AR27" s="839">
        <f>(IF(AJ27="YES",HLOOKUP(E27,'2. AWARDS'!$F$7:$J$39,32,FALSE),0)+IF(AK27="YES",HLOOKUP(E27,'2. AWARDS'!$F$7:$J$39,33,FALSE),0)+IF(AL27="YES",HLOOKUP(E27,'2. AWARDS'!$F$7:$J$47,40,FALSE),0))*L27/76*7.6*AM27*AN27*M27</f>
        <v>0</v>
      </c>
      <c r="AS27" s="683"/>
      <c r="AT27" s="215">
        <f>'1. KEY DATA'!J$29</f>
        <v>0</v>
      </c>
      <c r="AU27" s="218">
        <f>'1. KEY DATA'!J$30</f>
        <v>0.09</v>
      </c>
      <c r="AV27" s="502"/>
      <c r="AW27" s="1104">
        <f t="shared" si="3"/>
        <v>0</v>
      </c>
      <c r="AX27" s="176"/>
      <c r="AY27" s="173"/>
      <c r="AZ27" s="452">
        <f t="shared" si="4"/>
        <v>0</v>
      </c>
      <c r="BA27" s="405" t="str">
        <f t="shared" si="10"/>
        <v>-</v>
      </c>
      <c r="BB27" s="406" t="str">
        <f t="shared" si="10"/>
        <v>-</v>
      </c>
      <c r="BC27" s="406" t="str">
        <f t="shared" si="10"/>
        <v>-</v>
      </c>
      <c r="BD27" s="406" t="str">
        <f t="shared" si="10"/>
        <v>-</v>
      </c>
      <c r="BE27" s="406" t="str">
        <f t="shared" si="10"/>
        <v>-</v>
      </c>
      <c r="BF27" s="406" t="str">
        <f t="shared" si="10"/>
        <v>-</v>
      </c>
      <c r="BG27" s="406" t="str">
        <f t="shared" si="10"/>
        <v>-</v>
      </c>
      <c r="BH27" s="406" t="str">
        <f t="shared" si="10"/>
        <v>-</v>
      </c>
      <c r="BI27" s="406" t="str">
        <f t="shared" si="10"/>
        <v>-</v>
      </c>
      <c r="BJ27" s="406" t="str">
        <f t="shared" si="10"/>
        <v>-</v>
      </c>
      <c r="BK27" s="406" t="str">
        <f t="shared" si="10"/>
        <v>-</v>
      </c>
      <c r="BL27" s="406" t="str">
        <f t="shared" si="10"/>
        <v>-</v>
      </c>
      <c r="BM27" s="406" t="str">
        <f t="shared" si="10"/>
        <v>-</v>
      </c>
      <c r="BN27" s="406" t="str">
        <f t="shared" si="10"/>
        <v>-</v>
      </c>
      <c r="BO27" s="407" t="str">
        <f t="shared" si="10"/>
        <v>-</v>
      </c>
      <c r="BP27" s="1539"/>
    </row>
    <row r="28" spans="2:68" s="9" customFormat="1">
      <c r="B28" s="505"/>
      <c r="C28" s="80"/>
      <c r="D28" s="699">
        <f t="shared" si="1"/>
        <v>0</v>
      </c>
      <c r="E28" s="626"/>
      <c r="F28" s="652"/>
      <c r="G28" s="702"/>
      <c r="H28" s="693"/>
      <c r="I28" s="694"/>
      <c r="J28" s="1113"/>
      <c r="K28" s="1114"/>
      <c r="L28" s="763"/>
      <c r="M28" s="689"/>
      <c r="N28" s="629"/>
      <c r="O28" s="629"/>
      <c r="P28" s="638">
        <f t="shared" si="6"/>
        <v>0.03</v>
      </c>
      <c r="Q28" s="629"/>
      <c r="R28" s="673" t="str">
        <f t="shared" si="7"/>
        <v>-</v>
      </c>
      <c r="S28" s="649"/>
      <c r="T28" s="647"/>
      <c r="U28" s="827"/>
      <c r="V28" s="670"/>
      <c r="W28" s="798">
        <f t="shared" si="8"/>
        <v>0</v>
      </c>
      <c r="X28" s="656">
        <f>IF(OR(E28=0,F28=0),0,IF(E28='2. AWARDS'!F$7,VLOOKUP(F28,'2. AWARDS'!$C$9:$F$35,4,FALSE),IF(E28='2. AWARDS'!G$7,VLOOKUP(F28,'2. AWARDS'!$C$9:$G$35,5,FALSE),IF(E28='2. AWARDS'!H$7,VLOOKUP(F28,'2. AWARDS'!$C$9:$H$35,6,FALSE),IF(E28='2. AWARDS'!I$7,VLOOKUP(F28,'2. AWARDS'!$C$9:$I$35,7,FALSE),VLOOKUP(F28,'2. AWARDS'!$C$9:$J$35,8,FALSE))))))</f>
        <v>0</v>
      </c>
      <c r="Y28" s="657">
        <f>IF(OR(E28=0,F28=0),0,IF(AND(N28=0,E28='2. AWARDS'!F$7,VLOOKUP(F28,'2. AWARDS'!$C$9:$O$35,9,FALSE)&lt;&gt;0),"date missing",IF(AND(N28=0,E28='2. AWARDS'!G$7,VLOOKUP(F28,'2. AWARDS'!$C$9:$O$35,10,FALSE)&lt;&gt;0),"date missing",IF(AND(N28=0,E28='2. AWARDS'!H$7,VLOOKUP(F28,'2. AWARDS'!$C$9:$O$35,11,FALSE)&lt;&gt;0),"date missing",IF(AND(N28=0,E28='2. AWARDS'!I$7,VLOOKUP(F28,'2. AWARDS'!$C$9:$O$35,12,FALSE)&lt;&gt;0),"date missing",IF(AND(N28=0,E28='2. AWARDS'!J$7,VLOOKUP(F28,'2. AWARDS'!$C$9:$O$35,13,FALSE)&lt;&gt;0),"date missing",IF(N28=0,0,IF(OR(N28=MIN(O28,Q28),AND(N28&lt;O28,N28&lt;Q28,N28&gt;0)),IF(E28='2. AWARDS'!F$7,VLOOKUP(F28,'2. AWARDS'!$C$9:$O$35,9,FALSE),IF(E28='2. AWARDS'!G$7,VLOOKUP(F28,'2. AWARDS'!$C$9:$O$35,10,FALSE),IF(E28='2. AWARDS'!H$7,VLOOKUP(F28,'2. AWARDS'!$C$9:$O$35,11,FALSE),IF(E28='2. AWARDS'!I$7,VLOOKUP(F28,'2. AWARDS'!$C$9:$O$35,12,FALSE),IF(E28='2. AWARDS'!J$7,VLOOKUP(F28,'2. AWARDS'!$C$9:$O$35,13,FALSE)))))),IF(AND(N28&gt;O28,N28&lt;Q28),IF(E28='2. AWARDS'!F$7,(1+P28)*VLOOKUP(F28,'2. AWARDS'!$C$9:$O$35,9,FALSE),IF(E28='2. AWARDS'!G$7,(1+P28)*VLOOKUP(F28,'2. AWARDS'!$C$9:$O$35,10,FALSE),IF(E28='2. AWARDS'!H$7,(1+P28)*VLOOKUP(F28,'2. AWARDS'!$C$9:$O$35,11,FALSE),IF(E28='2. AWARDS'!I$7,(1+P28)*VLOOKUP(F28,'2. AWARDS'!$C$9:$O$35,12,FALSE),IF(E28='2. AWARDS'!J$7,(1+P28)*VLOOKUP(F28,'2. AWARDS'!$C$9:$O$35,13,FALSE)))))),IF(AND(N28&lt;O28,N28&gt;Q28),IF(E28='2. AWARDS'!F$7,(1+(R28/9))*VLOOKUP(F28,'2. AWARDS'!$C$9:$O$35,9,FALSE),IF(E28='2. AWARDS'!G$7,(1+(R28/9))*VLOOKUP(F28,'2. AWARDS'!$C$9:$O$35,10,FALSE),IF(E28='2. AWARDS'!H$7,(1+(R28/9))*VLOOKUP(F28,'2. AWARDS'!$C$9:$O$35,11,FALSE),IF(E28='2. AWARDS'!I$7,(1+(R28/9))*VLOOKUP(F28,'2. AWARDS'!$C$9:$O$35,12,FALSE),IF(E28='2. AWARDS'!J$7,(1+(R28/9))*VLOOKUP(F28,'2. AWARDS'!$C$9:$O$35,13,FALSE)))))),IF(OR(N28=MAX(O28,Q28),AND(N28&gt;O28,N28&gt;Q28)),IF(E28='2. AWARDS'!F$7,((1+(R28/9))*(1+P28))*VLOOKUP(F28,'2. AWARDS'!$C$9:$O$35,9,FALSE),IF(E28='2. AWARDS'!G$7,((1+(R28/9))*(1+P28))*VLOOKUP(F28,'2. AWARDS'!$C$9:$O$35,10,FALSE),IF(E28='2. AWARDS'!H$7,((1+(R28/9))*(1+P28))*VLOOKUP(F28,'2. AWARDS'!$C$9:$O$35,11,FALSE),IF(E28='2. AWARDS'!I$7,((1+(R28/9))*(1+P28))*VLOOKUP(F28,'2. AWARDS'!$C$9:$O$35,12,FALSE),IF(E28='2. AWARDS'!J$7,((1+(R28/9))*(1+P28))*VLOOKUP(F28,'2. AWARDS'!$C$9:$O$35,13,FALSE)))))),"?")))))))))))</f>
        <v>0</v>
      </c>
      <c r="Z28" s="656" t="e">
        <f>IF(AND(E28='2. AWARDS'!F$7,O28&gt;N28,O28&gt;Q28,VLOOKUP(F28,'2. AWARDS'!$C$9:$O$35,9,FALSE)&lt;&gt;0),VLOOKUP(F28,'2. AWARDS'!$C$9:$O$35,9,FALSE)*(1+P28)*(1+(R28/9)),IF(AND(E28='2. AWARDS'!F$7,O28&gt;N28,O28&gt;Q28,VLOOKUP(F28,'2. AWARDS'!$C$9:$O$35,9,FALSE)=0),X28*(1+P28)*(1+(R28/9)),IF(AND(E28='2. AWARDS'!G$7,O28&gt;N28,O28&gt;Q28,VLOOKUP(F28,'2. AWARDS'!$C$9:$O$35,10,FALSE)&lt;&gt;0),VLOOKUP(F28,'2. AWARDS'!$C$9:$O$35,10,FALSE)*(1+P28)*(1+(R28/9)),IF(AND(E28='2. AWARDS'!G$7,O28&gt;N28,O28&gt;Q28,VLOOKUP(F28,'2. AWARDS'!$C$9:$O$35,10,FALSE)=0),X28*(1+P28)*(1+(R28/9)),IF(AND(E28='2. AWARDS'!H$7,O28&gt;N28,O28&gt;Q28,VLOOKUP(F28,'2. AWARDS'!$C$9:$O$35,11,FALSE)&lt;&gt;0),VLOOKUP(F28,'2. AWARDS'!$C$9:$O$35,11,FALSE)*(1+P28)*(1+(R28/9)),IF(AND(E28='2. AWARDS'!H$7,O28&gt;N28,O28&gt;Q28,VLOOKUP(F28,'2. AWARDS'!$C$9:$O$35,11,FALSE)=0),X28*(1+P28)*(1+(R28/9)),IF(AND(E28='2. AWARDS'!I$7,O28&gt;N28,O28&gt;Q28,VLOOKUP(F28,'2. AWARDS'!$C$9:$O$35,12,FALSE)&lt;&gt;0),VLOOKUP(F28,'2. AWARDS'!$C$9:$O$35,12,FALSE)*(1+P28)*(1+(R28/9)),IF(AND(E28='2. AWARDS'!I$7,O28&gt;N28,O28&gt;Q28,VLOOKUP(F28,'2. AWARDS'!$C$9:$O$35,12,FALSE)=0),X28*(1+P28)*(1+(R28/9)),IF(AND(E28='2. AWARDS'!J$7,O28&gt;N28,O28&gt;Q28,VLOOKUP(F28,'2. AWARDS'!$C$9:$O$35,13,FALSE)&lt;&gt;0),VLOOKUP(F28,'2. AWARDS'!$C$9:$O$35,13,FALSE)*(1+P28)*(1+(R28/9)),IF(AND(E28='2. AWARDS'!J$7,O28&gt;N28,O28&gt;Q28,VLOOKUP(F28,'2. AWARDS'!$C$9:$O$35,13,FALSE)=0),X28*(1+P28)*(1+(R28/9)),IF(AND(O28&lt;N28,O28&gt;Q28),X28*(1+P28)*(1+(R28/9)),IF(AND(E28='2. AWARDS'!F$7,O28=MAX(N28,Q28),VLOOKUP(F28,'2. AWARDS'!$C$9:$O$35,9,FALSE)&lt;&gt;0),VLOOKUP(F28,'2. AWARDS'!$C$9:$O$35,9,FALSE)*(1+P28)*(1+(R28/9)),IF(AND(E28='2. AWARDS'!F$7,O28=MAX(N28,Q28),VLOOKUP(F28,'2. AWARDS'!$C$9:$O$35,9,FALSE)=0),X28*(1+P28)*(1+(R28/9)),IF(AND(E28='2. AWARDS'!G$7,O28=MAX(N28,Q28),VLOOKUP(F28,'2. AWARDS'!$C$9:$O$35,10,FALSE)&lt;&gt;0),VLOOKUP(F28,'2. AWARDS'!$C$9:$O$35,10,FALSE)*(1+P28)*(1+(R28/9)),IF(AND(E28='2. AWARDS'!G$7,O28=MAX(N28,Q28),VLOOKUP(F28,'2. AWARDS'!$C$9:$O$35,10,FALSE)=0),X28*(1+P28)*(1+(R28/9)),IF(AND(E28='2. AWARDS'!H$7,O28=MAX(N28,Q28),VLOOKUP(F28,'2. AWARDS'!$C$9:$O$35,11,FALSE)&lt;&gt;0),VLOOKUP(F28,'2. AWARDS'!$C$9:$O$35,11,FALSE)*(1+P28)*(1+(R28/9)),IF(AND(E28='2. AWARDS'!H$7,O28=MAX(N28,Q28),VLOOKUP(F28,'2. AWARDS'!$C$9:$O$35,11,FALSE)=0),X28*(1+P28)*(1+(R28/9)),IF(AND(E28='2. AWARDS'!I$7,O28=MAX(N28,Q28),VLOOKUP(F28,'2. AWARDS'!$C$9:$O$35,12,FALSE)&lt;&gt;0),VLOOKUP(F28,'2. AWARDS'!$C$9:$O$35,12,FALSE)*(1+P28)*(1+(R28/9)),IF(AND(E28='2. AWARDS'!I$7,O28=MAX(N28,Q28),VLOOKUP(F28,'2. AWARDS'!$C$9:$O$35,12,FALSE)=0),X28*(1+P28)*(1+(R28/9)),IF(AND(E28='2. AWARDS'!J$7,O28=MAX(N28,Q28),VLOOKUP(F28,'2. AWARDS'!$C$9:$O$35,13,FALSE)&lt;&gt;0),VLOOKUP(F28,'2. AWARDS'!$C$9:$O$35,13,FALSE)*(1+P28)*(1+(R28/9)),IF(AND(E28='2. AWARDS'!J$7,O28=MAX(N28,Q28),VLOOKUP(F28,'2. AWARDS'!$C$9:$O$35,13,FALSE)=0),X28*(1+P28)*(1+(R28/9)),IF(AND(O28&lt;N28,O28&lt;Q28),X28*(1+P28),IF(AND(O28=N28,N28&lt;Q28,E28='2. AWARDS'!F$7),VLOOKUP(F28,'2. AWARDS'!$C$9:$O$35,9,FALSE)*(1+P28),IF(AND(O28=N28,N28&lt;Q28,E28='2. AWARDS'!G$7),VLOOKUP(F28,'2. AWARDS'!$C$9:$O$35,10,FALSE)*(1+P28),IF(AND(O28=N28,N28&lt;Q28,E28='2. AWARDS'!H$7),VLOOKUP(F28,'2. AWARDS'!$C$9:$O$35,11,FALSE)*(1+P28),IF(AND(O28=N28,N28&lt;Q28,E28='2. AWARDS'!I$7),VLOOKUP(F28,'2. AWARDS'!$C$9:$O$35,12,FALSE)*(1+P28),IF(AND(O28=N28,N28&lt;Q28,E28='2. AWARDS'!J$7),VLOOKUP(F28,'2. AWARDS'!$C$9:$O$35,13,FALSE)*(1+P28),IF(AND(O28=Q28,N28&gt;Q28),X28*(1+P28)*(1+(R28/9)),IF(AND(E28='2. AWARDS'!F$7,O28&gt;N28,O28&lt;Q28,VLOOKUP(F28,'2. AWARDS'!$C$9:$O$35,9,FALSE)&lt;&gt;0),VLOOKUP(F28,'2. AWARDS'!$C$9:$O$35,9,FALSE)*(1+P28),IF(AND(E28='2. AWARDS'!G$7,O28&gt;N28,O28&lt;Q28,VLOOKUP(F28,'2. AWARDS'!$C$9:$O$35,10,FALSE)&lt;&gt;0),VLOOKUP(F28,'2. AWARDS'!$C$9:$O$35,10,FALSE)*(1+P28),IF(AND(E28='2. AWARDS'!H$7,O28&gt;N28,O28&lt;Q28,VLOOKUP(F28,'2. AWARDS'!$C$9:$O$35,11,FALSE)&lt;&gt;0),VLOOKUP(F28,'2. AWARDS'!$C$9:$O$35,11,FALSE)*(1+P28),IF(AND(E28='2. AWARDS'!I$7,O28&gt;N28,O28&lt;Q28,VLOOKUP(F28,'2. AWARDS'!$C$9:$O$35,12,FALSE)&lt;&gt;0),VLOOKUP(F28,'2. AWARDS'!$C$9:$O$35,12,FALSE)*(1+P28),IF(AND(E28='2. AWARDS'!J$7,O28&gt;N28,O28&lt;Q28,VLOOKUP(F28,'2. AWARDS'!$C$9:$O$35,13,FALSE)&lt;&gt;0),VLOOKUP(F28,'2. AWARDS'!$C$9:$O$35,13,FALSE)*(1+P28),X28*(1+P28))))))))))))))))))))))))))))))))))</f>
        <v>#N/A</v>
      </c>
      <c r="AA28" s="661" t="e">
        <f t="shared" si="2"/>
        <v>#N/A</v>
      </c>
      <c r="AB28" s="683"/>
      <c r="AC28" s="774"/>
      <c r="AD28" s="774"/>
      <c r="AE28" s="774"/>
      <c r="AF28" s="781">
        <f t="shared" si="9"/>
        <v>0</v>
      </c>
      <c r="AG28" s="781" t="e">
        <f>HLOOKUP(E28,'2. AWARDS'!$F$7:$J$40,32,FALSE)/5*HLOOKUP(E28,'2. AWARDS'!$F$7:$J$40,31,FALSE)*MAX(W28:AA28)*M28*HLOOKUP(E28,'2. AWARDS'!$F$7:$J$40,34,FALSE)*L28/(38*2)</f>
        <v>#N/A</v>
      </c>
      <c r="AH28" s="783" t="e">
        <f>((HLOOKUP(E28,'2. AWARDS'!$F$7:$J$42,36,FALSE)/HLOOKUP(E28,'2. AWARDS'!$F$7:$J$42,35,FALSE)*HLOOKUP(E28,'2. AWARDS'!$F$7:$J$45,39,FALSE))/(HLOOKUP(E28,'2. AWARDS'!$F$7:$J$45,31,FALSE)*2)*L28*M28*HLOOKUP(E28,'2. AWARDS'!$F$7:$J$45,31,FALSE)*MAX(W28:AA28))</f>
        <v>#N/A</v>
      </c>
      <c r="AI28" s="474"/>
      <c r="AJ28" s="804"/>
      <c r="AK28" s="801"/>
      <c r="AL28" s="801"/>
      <c r="AM28" s="802"/>
      <c r="AN28" s="805"/>
      <c r="AO28" s="836">
        <f>IF(AJ28="YES",HLOOKUP(E28,'2. AWARDS'!$F$7:$J$38,32,FALSE)/5*HLOOKUP(E28,'2. AWARDS'!$F$7:$J$37,31,FALSE)*L28/(HLOOKUP(E28,'2. AWARDS'!$F$7:$J$37,31,FALSE)*2)*M28*MAX(W28:AA28)*(1+HLOOKUP(E28,'2. AWARDS'!$F$7:$J$43,37,FALSE))*(1-AM28),0)</f>
        <v>0</v>
      </c>
      <c r="AP28" s="836">
        <f>IF(AK28="YES",HLOOKUP(E28,'2. AWARDS'!$F$7:$J$39,33,FALSE)/5*HLOOKUP(E28,'2. AWARDS'!$F$7:$J$37,31,FALSE)*L28/(HLOOKUP(E28,'2. AWARDS'!$F$7:$J$37,31,FALSE)*2)*M28*MAX(W28:AA28)*(1+HLOOKUP(E28,'2. AWARDS'!$F$7:$J$43,37,FALSE))*(1-AM28),0)</f>
        <v>0</v>
      </c>
      <c r="AQ28" s="838">
        <f>IF(AL28="YES",HLOOKUP(E28,'2. AWARDS'!$F$7:$J$47,40,FALSE)/5*HLOOKUP(E28,'2. AWARDS'!$F$7:$J$37,31,FALSE)*L28/(HLOOKUP(E28,'2. AWARDS'!$F$7:$J$37,31,FALSE)*2)*M28*MAX(W28:AA28)*(1+HLOOKUP(E28,'2. AWARDS'!$F$7:$J$43,37,FALSE))*(1-AM28),0)</f>
        <v>0</v>
      </c>
      <c r="AR28" s="839">
        <f>(IF(AJ28="YES",HLOOKUP(E28,'2. AWARDS'!$F$7:$J$39,32,FALSE),0)+IF(AK28="YES",HLOOKUP(E28,'2. AWARDS'!$F$7:$J$39,33,FALSE),0)+IF(AL28="YES",HLOOKUP(E28,'2. AWARDS'!$F$7:$J$47,40,FALSE),0))*L28/76*7.6*AM28*AN28*M28</f>
        <v>0</v>
      </c>
      <c r="AS28" s="683"/>
      <c r="AT28" s="215">
        <f>'1. KEY DATA'!J$29</f>
        <v>0</v>
      </c>
      <c r="AU28" s="218">
        <f>'1. KEY DATA'!J$30</f>
        <v>0.09</v>
      </c>
      <c r="AV28" s="502"/>
      <c r="AW28" s="1104">
        <f t="shared" si="3"/>
        <v>0</v>
      </c>
      <c r="AX28" s="176"/>
      <c r="AY28" s="173"/>
      <c r="AZ28" s="452">
        <f t="shared" si="4"/>
        <v>0</v>
      </c>
      <c r="BA28" s="405" t="str">
        <f t="shared" si="10"/>
        <v>-</v>
      </c>
      <c r="BB28" s="406" t="str">
        <f t="shared" si="10"/>
        <v>-</v>
      </c>
      <c r="BC28" s="406" t="str">
        <f t="shared" si="10"/>
        <v>-</v>
      </c>
      <c r="BD28" s="406" t="str">
        <f t="shared" si="10"/>
        <v>-</v>
      </c>
      <c r="BE28" s="406" t="str">
        <f t="shared" si="10"/>
        <v>-</v>
      </c>
      <c r="BF28" s="406" t="str">
        <f t="shared" si="10"/>
        <v>-</v>
      </c>
      <c r="BG28" s="406" t="str">
        <f t="shared" si="10"/>
        <v>-</v>
      </c>
      <c r="BH28" s="406" t="str">
        <f t="shared" si="10"/>
        <v>-</v>
      </c>
      <c r="BI28" s="406" t="str">
        <f t="shared" si="10"/>
        <v>-</v>
      </c>
      <c r="BJ28" s="406" t="str">
        <f t="shared" si="10"/>
        <v>-</v>
      </c>
      <c r="BK28" s="406" t="str">
        <f t="shared" si="10"/>
        <v>-</v>
      </c>
      <c r="BL28" s="406" t="str">
        <f t="shared" si="10"/>
        <v>-</v>
      </c>
      <c r="BM28" s="406" t="str">
        <f t="shared" si="10"/>
        <v>-</v>
      </c>
      <c r="BN28" s="406" t="str">
        <f t="shared" si="10"/>
        <v>-</v>
      </c>
      <c r="BO28" s="407" t="str">
        <f t="shared" si="10"/>
        <v>-</v>
      </c>
      <c r="BP28" s="1539"/>
    </row>
    <row r="29" spans="2:68" s="9" customFormat="1">
      <c r="B29" s="505"/>
      <c r="C29" s="80"/>
      <c r="D29" s="699">
        <f t="shared" si="1"/>
        <v>0</v>
      </c>
      <c r="E29" s="626"/>
      <c r="F29" s="652"/>
      <c r="G29" s="702"/>
      <c r="H29" s="693"/>
      <c r="I29" s="694"/>
      <c r="J29" s="1113"/>
      <c r="K29" s="1114"/>
      <c r="L29" s="763"/>
      <c r="M29" s="689"/>
      <c r="N29" s="629"/>
      <c r="O29" s="629"/>
      <c r="P29" s="638">
        <f t="shared" si="6"/>
        <v>0.03</v>
      </c>
      <c r="Q29" s="629"/>
      <c r="R29" s="673" t="str">
        <f t="shared" si="7"/>
        <v>-</v>
      </c>
      <c r="S29" s="649"/>
      <c r="T29" s="647"/>
      <c r="U29" s="827"/>
      <c r="V29" s="670"/>
      <c r="W29" s="798">
        <f t="shared" si="8"/>
        <v>0</v>
      </c>
      <c r="X29" s="656">
        <f>IF(OR(E29=0,F29=0),0,IF(E29='2. AWARDS'!F$7,VLOOKUP(F29,'2. AWARDS'!$C$9:$F$35,4,FALSE),IF(E29='2. AWARDS'!G$7,VLOOKUP(F29,'2. AWARDS'!$C$9:$G$35,5,FALSE),IF(E29='2. AWARDS'!H$7,VLOOKUP(F29,'2. AWARDS'!$C$9:$H$35,6,FALSE),IF(E29='2. AWARDS'!I$7,VLOOKUP(F29,'2. AWARDS'!$C$9:$I$35,7,FALSE),VLOOKUP(F29,'2. AWARDS'!$C$9:$J$35,8,FALSE))))))</f>
        <v>0</v>
      </c>
      <c r="Y29" s="657">
        <f>IF(OR(E29=0,F29=0),0,IF(AND(N29=0,E29='2. AWARDS'!F$7,VLOOKUP(F29,'2. AWARDS'!$C$9:$O$35,9,FALSE)&lt;&gt;0),"date missing",IF(AND(N29=0,E29='2. AWARDS'!G$7,VLOOKUP(F29,'2. AWARDS'!$C$9:$O$35,10,FALSE)&lt;&gt;0),"date missing",IF(AND(N29=0,E29='2. AWARDS'!H$7,VLOOKUP(F29,'2. AWARDS'!$C$9:$O$35,11,FALSE)&lt;&gt;0),"date missing",IF(AND(N29=0,E29='2. AWARDS'!I$7,VLOOKUP(F29,'2. AWARDS'!$C$9:$O$35,12,FALSE)&lt;&gt;0),"date missing",IF(AND(N29=0,E29='2. AWARDS'!J$7,VLOOKUP(F29,'2. AWARDS'!$C$9:$O$35,13,FALSE)&lt;&gt;0),"date missing",IF(N29=0,0,IF(OR(N29=MIN(O29,Q29),AND(N29&lt;O29,N29&lt;Q29,N29&gt;0)),IF(E29='2. AWARDS'!F$7,VLOOKUP(F29,'2. AWARDS'!$C$9:$O$35,9,FALSE),IF(E29='2. AWARDS'!G$7,VLOOKUP(F29,'2. AWARDS'!$C$9:$O$35,10,FALSE),IF(E29='2. AWARDS'!H$7,VLOOKUP(F29,'2. AWARDS'!$C$9:$O$35,11,FALSE),IF(E29='2. AWARDS'!I$7,VLOOKUP(F29,'2. AWARDS'!$C$9:$O$35,12,FALSE),IF(E29='2. AWARDS'!J$7,VLOOKUP(F29,'2. AWARDS'!$C$9:$O$35,13,FALSE)))))),IF(AND(N29&gt;O29,N29&lt;Q29),IF(E29='2. AWARDS'!F$7,(1+P29)*VLOOKUP(F29,'2. AWARDS'!$C$9:$O$35,9,FALSE),IF(E29='2. AWARDS'!G$7,(1+P29)*VLOOKUP(F29,'2. AWARDS'!$C$9:$O$35,10,FALSE),IF(E29='2. AWARDS'!H$7,(1+P29)*VLOOKUP(F29,'2. AWARDS'!$C$9:$O$35,11,FALSE),IF(E29='2. AWARDS'!I$7,(1+P29)*VLOOKUP(F29,'2. AWARDS'!$C$9:$O$35,12,FALSE),IF(E29='2. AWARDS'!J$7,(1+P29)*VLOOKUP(F29,'2. AWARDS'!$C$9:$O$35,13,FALSE)))))),IF(AND(N29&lt;O29,N29&gt;Q29),IF(E29='2. AWARDS'!F$7,(1+(R29/9))*VLOOKUP(F29,'2. AWARDS'!$C$9:$O$35,9,FALSE),IF(E29='2. AWARDS'!G$7,(1+(R29/9))*VLOOKUP(F29,'2. AWARDS'!$C$9:$O$35,10,FALSE),IF(E29='2. AWARDS'!H$7,(1+(R29/9))*VLOOKUP(F29,'2. AWARDS'!$C$9:$O$35,11,FALSE),IF(E29='2. AWARDS'!I$7,(1+(R29/9))*VLOOKUP(F29,'2. AWARDS'!$C$9:$O$35,12,FALSE),IF(E29='2. AWARDS'!J$7,(1+(R29/9))*VLOOKUP(F29,'2. AWARDS'!$C$9:$O$35,13,FALSE)))))),IF(OR(N29=MAX(O29,Q29),AND(N29&gt;O29,N29&gt;Q29)),IF(E29='2. AWARDS'!F$7,((1+(R29/9))*(1+P29))*VLOOKUP(F29,'2. AWARDS'!$C$9:$O$35,9,FALSE),IF(E29='2. AWARDS'!G$7,((1+(R29/9))*(1+P29))*VLOOKUP(F29,'2. AWARDS'!$C$9:$O$35,10,FALSE),IF(E29='2. AWARDS'!H$7,((1+(R29/9))*(1+P29))*VLOOKUP(F29,'2. AWARDS'!$C$9:$O$35,11,FALSE),IF(E29='2. AWARDS'!I$7,((1+(R29/9))*(1+P29))*VLOOKUP(F29,'2. AWARDS'!$C$9:$O$35,12,FALSE),IF(E29='2. AWARDS'!J$7,((1+(R29/9))*(1+P29))*VLOOKUP(F29,'2. AWARDS'!$C$9:$O$35,13,FALSE)))))),"?")))))))))))</f>
        <v>0</v>
      </c>
      <c r="Z29" s="656" t="e">
        <f>IF(AND(E29='2. AWARDS'!F$7,O29&gt;N29,O29&gt;Q29,VLOOKUP(F29,'2. AWARDS'!$C$9:$O$35,9,FALSE)&lt;&gt;0),VLOOKUP(F29,'2. AWARDS'!$C$9:$O$35,9,FALSE)*(1+P29)*(1+(R29/9)),IF(AND(E29='2. AWARDS'!F$7,O29&gt;N29,O29&gt;Q29,VLOOKUP(F29,'2. AWARDS'!$C$9:$O$35,9,FALSE)=0),X29*(1+P29)*(1+(R29/9)),IF(AND(E29='2. AWARDS'!G$7,O29&gt;N29,O29&gt;Q29,VLOOKUP(F29,'2. AWARDS'!$C$9:$O$35,10,FALSE)&lt;&gt;0),VLOOKUP(F29,'2. AWARDS'!$C$9:$O$35,10,FALSE)*(1+P29)*(1+(R29/9)),IF(AND(E29='2. AWARDS'!G$7,O29&gt;N29,O29&gt;Q29,VLOOKUP(F29,'2. AWARDS'!$C$9:$O$35,10,FALSE)=0),X29*(1+P29)*(1+(R29/9)),IF(AND(E29='2. AWARDS'!H$7,O29&gt;N29,O29&gt;Q29,VLOOKUP(F29,'2. AWARDS'!$C$9:$O$35,11,FALSE)&lt;&gt;0),VLOOKUP(F29,'2. AWARDS'!$C$9:$O$35,11,FALSE)*(1+P29)*(1+(R29/9)),IF(AND(E29='2. AWARDS'!H$7,O29&gt;N29,O29&gt;Q29,VLOOKUP(F29,'2. AWARDS'!$C$9:$O$35,11,FALSE)=0),X29*(1+P29)*(1+(R29/9)),IF(AND(E29='2. AWARDS'!I$7,O29&gt;N29,O29&gt;Q29,VLOOKUP(F29,'2. AWARDS'!$C$9:$O$35,12,FALSE)&lt;&gt;0),VLOOKUP(F29,'2. AWARDS'!$C$9:$O$35,12,FALSE)*(1+P29)*(1+(R29/9)),IF(AND(E29='2. AWARDS'!I$7,O29&gt;N29,O29&gt;Q29,VLOOKUP(F29,'2. AWARDS'!$C$9:$O$35,12,FALSE)=0),X29*(1+P29)*(1+(R29/9)),IF(AND(E29='2. AWARDS'!J$7,O29&gt;N29,O29&gt;Q29,VLOOKUP(F29,'2. AWARDS'!$C$9:$O$35,13,FALSE)&lt;&gt;0),VLOOKUP(F29,'2. AWARDS'!$C$9:$O$35,13,FALSE)*(1+P29)*(1+(R29/9)),IF(AND(E29='2. AWARDS'!J$7,O29&gt;N29,O29&gt;Q29,VLOOKUP(F29,'2. AWARDS'!$C$9:$O$35,13,FALSE)=0),X29*(1+P29)*(1+(R29/9)),IF(AND(O29&lt;N29,O29&gt;Q29),X29*(1+P29)*(1+(R29/9)),IF(AND(E29='2. AWARDS'!F$7,O29=MAX(N29,Q29),VLOOKUP(F29,'2. AWARDS'!$C$9:$O$35,9,FALSE)&lt;&gt;0),VLOOKUP(F29,'2. AWARDS'!$C$9:$O$35,9,FALSE)*(1+P29)*(1+(R29/9)),IF(AND(E29='2. AWARDS'!F$7,O29=MAX(N29,Q29),VLOOKUP(F29,'2. AWARDS'!$C$9:$O$35,9,FALSE)=0),X29*(1+P29)*(1+(R29/9)),IF(AND(E29='2. AWARDS'!G$7,O29=MAX(N29,Q29),VLOOKUP(F29,'2. AWARDS'!$C$9:$O$35,10,FALSE)&lt;&gt;0),VLOOKUP(F29,'2. AWARDS'!$C$9:$O$35,10,FALSE)*(1+P29)*(1+(R29/9)),IF(AND(E29='2. AWARDS'!G$7,O29=MAX(N29,Q29),VLOOKUP(F29,'2. AWARDS'!$C$9:$O$35,10,FALSE)=0),X29*(1+P29)*(1+(R29/9)),IF(AND(E29='2. AWARDS'!H$7,O29=MAX(N29,Q29),VLOOKUP(F29,'2. AWARDS'!$C$9:$O$35,11,FALSE)&lt;&gt;0),VLOOKUP(F29,'2. AWARDS'!$C$9:$O$35,11,FALSE)*(1+P29)*(1+(R29/9)),IF(AND(E29='2. AWARDS'!H$7,O29=MAX(N29,Q29),VLOOKUP(F29,'2. AWARDS'!$C$9:$O$35,11,FALSE)=0),X29*(1+P29)*(1+(R29/9)),IF(AND(E29='2. AWARDS'!I$7,O29=MAX(N29,Q29),VLOOKUP(F29,'2. AWARDS'!$C$9:$O$35,12,FALSE)&lt;&gt;0),VLOOKUP(F29,'2. AWARDS'!$C$9:$O$35,12,FALSE)*(1+P29)*(1+(R29/9)),IF(AND(E29='2. AWARDS'!I$7,O29=MAX(N29,Q29),VLOOKUP(F29,'2. AWARDS'!$C$9:$O$35,12,FALSE)=0),X29*(1+P29)*(1+(R29/9)),IF(AND(E29='2. AWARDS'!J$7,O29=MAX(N29,Q29),VLOOKUP(F29,'2. AWARDS'!$C$9:$O$35,13,FALSE)&lt;&gt;0),VLOOKUP(F29,'2. AWARDS'!$C$9:$O$35,13,FALSE)*(1+P29)*(1+(R29/9)),IF(AND(E29='2. AWARDS'!J$7,O29=MAX(N29,Q29),VLOOKUP(F29,'2. AWARDS'!$C$9:$O$35,13,FALSE)=0),X29*(1+P29)*(1+(R29/9)),IF(AND(O29&lt;N29,O29&lt;Q29),X29*(1+P29),IF(AND(O29=N29,N29&lt;Q29,E29='2. AWARDS'!F$7),VLOOKUP(F29,'2. AWARDS'!$C$9:$O$35,9,FALSE)*(1+P29),IF(AND(O29=N29,N29&lt;Q29,E29='2. AWARDS'!G$7),VLOOKUP(F29,'2. AWARDS'!$C$9:$O$35,10,FALSE)*(1+P29),IF(AND(O29=N29,N29&lt;Q29,E29='2. AWARDS'!H$7),VLOOKUP(F29,'2. AWARDS'!$C$9:$O$35,11,FALSE)*(1+P29),IF(AND(O29=N29,N29&lt;Q29,E29='2. AWARDS'!I$7),VLOOKUP(F29,'2. AWARDS'!$C$9:$O$35,12,FALSE)*(1+P29),IF(AND(O29=N29,N29&lt;Q29,E29='2. AWARDS'!J$7),VLOOKUP(F29,'2. AWARDS'!$C$9:$O$35,13,FALSE)*(1+P29),IF(AND(O29=Q29,N29&gt;Q29),X29*(1+P29)*(1+(R29/9)),IF(AND(E29='2. AWARDS'!F$7,O29&gt;N29,O29&lt;Q29,VLOOKUP(F29,'2. AWARDS'!$C$9:$O$35,9,FALSE)&lt;&gt;0),VLOOKUP(F29,'2. AWARDS'!$C$9:$O$35,9,FALSE)*(1+P29),IF(AND(E29='2. AWARDS'!G$7,O29&gt;N29,O29&lt;Q29,VLOOKUP(F29,'2. AWARDS'!$C$9:$O$35,10,FALSE)&lt;&gt;0),VLOOKUP(F29,'2. AWARDS'!$C$9:$O$35,10,FALSE)*(1+P29),IF(AND(E29='2. AWARDS'!H$7,O29&gt;N29,O29&lt;Q29,VLOOKUP(F29,'2. AWARDS'!$C$9:$O$35,11,FALSE)&lt;&gt;0),VLOOKUP(F29,'2. AWARDS'!$C$9:$O$35,11,FALSE)*(1+P29),IF(AND(E29='2. AWARDS'!I$7,O29&gt;N29,O29&lt;Q29,VLOOKUP(F29,'2. AWARDS'!$C$9:$O$35,12,FALSE)&lt;&gt;0),VLOOKUP(F29,'2. AWARDS'!$C$9:$O$35,12,FALSE)*(1+P29),IF(AND(E29='2. AWARDS'!J$7,O29&gt;N29,O29&lt;Q29,VLOOKUP(F29,'2. AWARDS'!$C$9:$O$35,13,FALSE)&lt;&gt;0),VLOOKUP(F29,'2. AWARDS'!$C$9:$O$35,13,FALSE)*(1+P29),X29*(1+P29))))))))))))))))))))))))))))))))))</f>
        <v>#N/A</v>
      </c>
      <c r="AA29" s="661" t="e">
        <f t="shared" si="2"/>
        <v>#N/A</v>
      </c>
      <c r="AB29" s="683"/>
      <c r="AC29" s="774"/>
      <c r="AD29" s="774"/>
      <c r="AE29" s="774"/>
      <c r="AF29" s="781">
        <f t="shared" si="9"/>
        <v>0</v>
      </c>
      <c r="AG29" s="781" t="e">
        <f>HLOOKUP(E29,'2. AWARDS'!$F$7:$J$40,32,FALSE)/5*HLOOKUP(E29,'2. AWARDS'!$F$7:$J$40,31,FALSE)*MAX(W29:AA29)*M29*HLOOKUP(E29,'2. AWARDS'!$F$7:$J$40,34,FALSE)*L29/(38*2)</f>
        <v>#N/A</v>
      </c>
      <c r="AH29" s="783" t="e">
        <f>((HLOOKUP(E29,'2. AWARDS'!$F$7:$J$42,36,FALSE)/HLOOKUP(E29,'2. AWARDS'!$F$7:$J$42,35,FALSE)*HLOOKUP(E29,'2. AWARDS'!$F$7:$J$45,39,FALSE))/(HLOOKUP(E29,'2. AWARDS'!$F$7:$J$45,31,FALSE)*2)*L29*M29*HLOOKUP(E29,'2. AWARDS'!$F$7:$J$45,31,FALSE)*MAX(W29:AA29))</f>
        <v>#N/A</v>
      </c>
      <c r="AI29" s="474"/>
      <c r="AJ29" s="804"/>
      <c r="AK29" s="801"/>
      <c r="AL29" s="801"/>
      <c r="AM29" s="802"/>
      <c r="AN29" s="805"/>
      <c r="AO29" s="836">
        <f>IF(AJ29="YES",HLOOKUP(E29,'2. AWARDS'!$F$7:$J$38,32,FALSE)/5*HLOOKUP(E29,'2. AWARDS'!$F$7:$J$37,31,FALSE)*L29/(HLOOKUP(E29,'2. AWARDS'!$F$7:$J$37,31,FALSE)*2)*M29*MAX(W29:AA29)*(1+HLOOKUP(E29,'2. AWARDS'!$F$7:$J$43,37,FALSE))*(1-AM29),0)</f>
        <v>0</v>
      </c>
      <c r="AP29" s="836">
        <f>IF(AK29="YES",HLOOKUP(E29,'2. AWARDS'!$F$7:$J$39,33,FALSE)/5*HLOOKUP(E29,'2. AWARDS'!$F$7:$J$37,31,FALSE)*L29/(HLOOKUP(E29,'2. AWARDS'!$F$7:$J$37,31,FALSE)*2)*M29*MAX(W29:AA29)*(1+HLOOKUP(E29,'2. AWARDS'!$F$7:$J$43,37,FALSE))*(1-AM29),0)</f>
        <v>0</v>
      </c>
      <c r="AQ29" s="838">
        <f>IF(AL29="YES",HLOOKUP(E29,'2. AWARDS'!$F$7:$J$47,40,FALSE)/5*HLOOKUP(E29,'2. AWARDS'!$F$7:$J$37,31,FALSE)*L29/(HLOOKUP(E29,'2. AWARDS'!$F$7:$J$37,31,FALSE)*2)*M29*MAX(W29:AA29)*(1+HLOOKUP(E29,'2. AWARDS'!$F$7:$J$43,37,FALSE))*(1-AM29),0)</f>
        <v>0</v>
      </c>
      <c r="AR29" s="839">
        <f>(IF(AJ29="YES",HLOOKUP(E29,'2. AWARDS'!$F$7:$J$39,32,FALSE),0)+IF(AK29="YES",HLOOKUP(E29,'2. AWARDS'!$F$7:$J$39,33,FALSE),0)+IF(AL29="YES",HLOOKUP(E29,'2. AWARDS'!$F$7:$J$47,40,FALSE),0))*L29/76*7.6*AM29*AN29*M29</f>
        <v>0</v>
      </c>
      <c r="AS29" s="683"/>
      <c r="AT29" s="215">
        <f>'1. KEY DATA'!J$29</f>
        <v>0</v>
      </c>
      <c r="AU29" s="218">
        <f>'1. KEY DATA'!J$30</f>
        <v>0.09</v>
      </c>
      <c r="AV29" s="502"/>
      <c r="AW29" s="1104">
        <f t="shared" si="3"/>
        <v>0</v>
      </c>
      <c r="AX29" s="176"/>
      <c r="AY29" s="173"/>
      <c r="AZ29" s="452">
        <f t="shared" si="4"/>
        <v>0</v>
      </c>
      <c r="BA29" s="405" t="str">
        <f t="shared" si="10"/>
        <v>-</v>
      </c>
      <c r="BB29" s="406" t="str">
        <f t="shared" si="10"/>
        <v>-</v>
      </c>
      <c r="BC29" s="406" t="str">
        <f t="shared" si="10"/>
        <v>-</v>
      </c>
      <c r="BD29" s="406" t="str">
        <f t="shared" si="10"/>
        <v>-</v>
      </c>
      <c r="BE29" s="406" t="str">
        <f t="shared" si="10"/>
        <v>-</v>
      </c>
      <c r="BF29" s="406" t="str">
        <f t="shared" si="10"/>
        <v>-</v>
      </c>
      <c r="BG29" s="406" t="str">
        <f t="shared" si="10"/>
        <v>-</v>
      </c>
      <c r="BH29" s="406" t="str">
        <f t="shared" si="10"/>
        <v>-</v>
      </c>
      <c r="BI29" s="406" t="str">
        <f t="shared" si="10"/>
        <v>-</v>
      </c>
      <c r="BJ29" s="406" t="str">
        <f t="shared" si="10"/>
        <v>-</v>
      </c>
      <c r="BK29" s="406" t="str">
        <f t="shared" si="10"/>
        <v>-</v>
      </c>
      <c r="BL29" s="406" t="str">
        <f t="shared" si="10"/>
        <v>-</v>
      </c>
      <c r="BM29" s="406" t="str">
        <f t="shared" si="10"/>
        <v>-</v>
      </c>
      <c r="BN29" s="406" t="str">
        <f t="shared" si="10"/>
        <v>-</v>
      </c>
      <c r="BO29" s="407" t="str">
        <f t="shared" si="10"/>
        <v>-</v>
      </c>
      <c r="BP29" s="1539"/>
    </row>
    <row r="30" spans="2:68" s="9" customFormat="1">
      <c r="B30" s="505"/>
      <c r="C30" s="80"/>
      <c r="D30" s="699">
        <f t="shared" si="1"/>
        <v>0</v>
      </c>
      <c r="E30" s="626"/>
      <c r="F30" s="652"/>
      <c r="G30" s="702"/>
      <c r="H30" s="693"/>
      <c r="I30" s="694"/>
      <c r="J30" s="1113"/>
      <c r="K30" s="1114"/>
      <c r="L30" s="763"/>
      <c r="M30" s="689"/>
      <c r="N30" s="629"/>
      <c r="O30" s="629"/>
      <c r="P30" s="638">
        <f t="shared" si="6"/>
        <v>0.03</v>
      </c>
      <c r="Q30" s="629"/>
      <c r="R30" s="673" t="str">
        <f t="shared" si="7"/>
        <v>-</v>
      </c>
      <c r="S30" s="649"/>
      <c r="T30" s="647"/>
      <c r="U30" s="827"/>
      <c r="V30" s="670"/>
      <c r="W30" s="798">
        <f t="shared" si="8"/>
        <v>0</v>
      </c>
      <c r="X30" s="656">
        <f>IF(OR(E30=0,F30=0),0,IF(E30='2. AWARDS'!F$7,VLOOKUP(F30,'2. AWARDS'!$C$9:$F$35,4,FALSE),IF(E30='2. AWARDS'!G$7,VLOOKUP(F30,'2. AWARDS'!$C$9:$G$35,5,FALSE),IF(E30='2. AWARDS'!H$7,VLOOKUP(F30,'2. AWARDS'!$C$9:$H$35,6,FALSE),IF(E30='2. AWARDS'!I$7,VLOOKUP(F30,'2. AWARDS'!$C$9:$I$35,7,FALSE),VLOOKUP(F30,'2. AWARDS'!$C$9:$J$35,8,FALSE))))))</f>
        <v>0</v>
      </c>
      <c r="Y30" s="657">
        <f>IF(OR(E30=0,F30=0),0,IF(AND(N30=0,E30='2. AWARDS'!F$7,VLOOKUP(F30,'2. AWARDS'!$C$9:$O$35,9,FALSE)&lt;&gt;0),"date missing",IF(AND(N30=0,E30='2. AWARDS'!G$7,VLOOKUP(F30,'2. AWARDS'!$C$9:$O$35,10,FALSE)&lt;&gt;0),"date missing",IF(AND(N30=0,E30='2. AWARDS'!H$7,VLOOKUP(F30,'2. AWARDS'!$C$9:$O$35,11,FALSE)&lt;&gt;0),"date missing",IF(AND(N30=0,E30='2. AWARDS'!I$7,VLOOKUP(F30,'2. AWARDS'!$C$9:$O$35,12,FALSE)&lt;&gt;0),"date missing",IF(AND(N30=0,E30='2. AWARDS'!J$7,VLOOKUP(F30,'2. AWARDS'!$C$9:$O$35,13,FALSE)&lt;&gt;0),"date missing",IF(N30=0,0,IF(OR(N30=MIN(O30,Q30),AND(N30&lt;O30,N30&lt;Q30,N30&gt;0)),IF(E30='2. AWARDS'!F$7,VLOOKUP(F30,'2. AWARDS'!$C$9:$O$35,9,FALSE),IF(E30='2. AWARDS'!G$7,VLOOKUP(F30,'2. AWARDS'!$C$9:$O$35,10,FALSE),IF(E30='2. AWARDS'!H$7,VLOOKUP(F30,'2. AWARDS'!$C$9:$O$35,11,FALSE),IF(E30='2. AWARDS'!I$7,VLOOKUP(F30,'2. AWARDS'!$C$9:$O$35,12,FALSE),IF(E30='2. AWARDS'!J$7,VLOOKUP(F30,'2. AWARDS'!$C$9:$O$35,13,FALSE)))))),IF(AND(N30&gt;O30,N30&lt;Q30),IF(E30='2. AWARDS'!F$7,(1+P30)*VLOOKUP(F30,'2. AWARDS'!$C$9:$O$35,9,FALSE),IF(E30='2. AWARDS'!G$7,(1+P30)*VLOOKUP(F30,'2. AWARDS'!$C$9:$O$35,10,FALSE),IF(E30='2. AWARDS'!H$7,(1+P30)*VLOOKUP(F30,'2. AWARDS'!$C$9:$O$35,11,FALSE),IF(E30='2. AWARDS'!I$7,(1+P30)*VLOOKUP(F30,'2. AWARDS'!$C$9:$O$35,12,FALSE),IF(E30='2. AWARDS'!J$7,(1+P30)*VLOOKUP(F30,'2. AWARDS'!$C$9:$O$35,13,FALSE)))))),IF(AND(N30&lt;O30,N30&gt;Q30),IF(E30='2. AWARDS'!F$7,(1+(R30/9))*VLOOKUP(F30,'2. AWARDS'!$C$9:$O$35,9,FALSE),IF(E30='2. AWARDS'!G$7,(1+(R30/9))*VLOOKUP(F30,'2. AWARDS'!$C$9:$O$35,10,FALSE),IF(E30='2. AWARDS'!H$7,(1+(R30/9))*VLOOKUP(F30,'2. AWARDS'!$C$9:$O$35,11,FALSE),IF(E30='2. AWARDS'!I$7,(1+(R30/9))*VLOOKUP(F30,'2. AWARDS'!$C$9:$O$35,12,FALSE),IF(E30='2. AWARDS'!J$7,(1+(R30/9))*VLOOKUP(F30,'2. AWARDS'!$C$9:$O$35,13,FALSE)))))),IF(OR(N30=MAX(O30,Q30),AND(N30&gt;O30,N30&gt;Q30)),IF(E30='2. AWARDS'!F$7,((1+(R30/9))*(1+P30))*VLOOKUP(F30,'2. AWARDS'!$C$9:$O$35,9,FALSE),IF(E30='2. AWARDS'!G$7,((1+(R30/9))*(1+P30))*VLOOKUP(F30,'2. AWARDS'!$C$9:$O$35,10,FALSE),IF(E30='2. AWARDS'!H$7,((1+(R30/9))*(1+P30))*VLOOKUP(F30,'2. AWARDS'!$C$9:$O$35,11,FALSE),IF(E30='2. AWARDS'!I$7,((1+(R30/9))*(1+P30))*VLOOKUP(F30,'2. AWARDS'!$C$9:$O$35,12,FALSE),IF(E30='2. AWARDS'!J$7,((1+(R30/9))*(1+P30))*VLOOKUP(F30,'2. AWARDS'!$C$9:$O$35,13,FALSE)))))),"?")))))))))))</f>
        <v>0</v>
      </c>
      <c r="Z30" s="656" t="e">
        <f>IF(AND(E30='2. AWARDS'!F$7,O30&gt;N30,O30&gt;Q30,VLOOKUP(F30,'2. AWARDS'!$C$9:$O$35,9,FALSE)&lt;&gt;0),VLOOKUP(F30,'2. AWARDS'!$C$9:$O$35,9,FALSE)*(1+P30)*(1+(R30/9)),IF(AND(E30='2. AWARDS'!F$7,O30&gt;N30,O30&gt;Q30,VLOOKUP(F30,'2. AWARDS'!$C$9:$O$35,9,FALSE)=0),X30*(1+P30)*(1+(R30/9)),IF(AND(E30='2. AWARDS'!G$7,O30&gt;N30,O30&gt;Q30,VLOOKUP(F30,'2. AWARDS'!$C$9:$O$35,10,FALSE)&lt;&gt;0),VLOOKUP(F30,'2. AWARDS'!$C$9:$O$35,10,FALSE)*(1+P30)*(1+(R30/9)),IF(AND(E30='2. AWARDS'!G$7,O30&gt;N30,O30&gt;Q30,VLOOKUP(F30,'2. AWARDS'!$C$9:$O$35,10,FALSE)=0),X30*(1+P30)*(1+(R30/9)),IF(AND(E30='2. AWARDS'!H$7,O30&gt;N30,O30&gt;Q30,VLOOKUP(F30,'2. AWARDS'!$C$9:$O$35,11,FALSE)&lt;&gt;0),VLOOKUP(F30,'2. AWARDS'!$C$9:$O$35,11,FALSE)*(1+P30)*(1+(R30/9)),IF(AND(E30='2. AWARDS'!H$7,O30&gt;N30,O30&gt;Q30,VLOOKUP(F30,'2. AWARDS'!$C$9:$O$35,11,FALSE)=0),X30*(1+P30)*(1+(R30/9)),IF(AND(E30='2. AWARDS'!I$7,O30&gt;N30,O30&gt;Q30,VLOOKUP(F30,'2. AWARDS'!$C$9:$O$35,12,FALSE)&lt;&gt;0),VLOOKUP(F30,'2. AWARDS'!$C$9:$O$35,12,FALSE)*(1+P30)*(1+(R30/9)),IF(AND(E30='2. AWARDS'!I$7,O30&gt;N30,O30&gt;Q30,VLOOKUP(F30,'2. AWARDS'!$C$9:$O$35,12,FALSE)=0),X30*(1+P30)*(1+(R30/9)),IF(AND(E30='2. AWARDS'!J$7,O30&gt;N30,O30&gt;Q30,VLOOKUP(F30,'2. AWARDS'!$C$9:$O$35,13,FALSE)&lt;&gt;0),VLOOKUP(F30,'2. AWARDS'!$C$9:$O$35,13,FALSE)*(1+P30)*(1+(R30/9)),IF(AND(E30='2. AWARDS'!J$7,O30&gt;N30,O30&gt;Q30,VLOOKUP(F30,'2. AWARDS'!$C$9:$O$35,13,FALSE)=0),X30*(1+P30)*(1+(R30/9)),IF(AND(O30&lt;N30,O30&gt;Q30),X30*(1+P30)*(1+(R30/9)),IF(AND(E30='2. AWARDS'!F$7,O30=MAX(N30,Q30),VLOOKUP(F30,'2. AWARDS'!$C$9:$O$35,9,FALSE)&lt;&gt;0),VLOOKUP(F30,'2. AWARDS'!$C$9:$O$35,9,FALSE)*(1+P30)*(1+(R30/9)),IF(AND(E30='2. AWARDS'!F$7,O30=MAX(N30,Q30),VLOOKUP(F30,'2. AWARDS'!$C$9:$O$35,9,FALSE)=0),X30*(1+P30)*(1+(R30/9)),IF(AND(E30='2. AWARDS'!G$7,O30=MAX(N30,Q30),VLOOKUP(F30,'2. AWARDS'!$C$9:$O$35,10,FALSE)&lt;&gt;0),VLOOKUP(F30,'2. AWARDS'!$C$9:$O$35,10,FALSE)*(1+P30)*(1+(R30/9)),IF(AND(E30='2. AWARDS'!G$7,O30=MAX(N30,Q30),VLOOKUP(F30,'2. AWARDS'!$C$9:$O$35,10,FALSE)=0),X30*(1+P30)*(1+(R30/9)),IF(AND(E30='2. AWARDS'!H$7,O30=MAX(N30,Q30),VLOOKUP(F30,'2. AWARDS'!$C$9:$O$35,11,FALSE)&lt;&gt;0),VLOOKUP(F30,'2. AWARDS'!$C$9:$O$35,11,FALSE)*(1+P30)*(1+(R30/9)),IF(AND(E30='2. AWARDS'!H$7,O30=MAX(N30,Q30),VLOOKUP(F30,'2. AWARDS'!$C$9:$O$35,11,FALSE)=0),X30*(1+P30)*(1+(R30/9)),IF(AND(E30='2. AWARDS'!I$7,O30=MAX(N30,Q30),VLOOKUP(F30,'2. AWARDS'!$C$9:$O$35,12,FALSE)&lt;&gt;0),VLOOKUP(F30,'2. AWARDS'!$C$9:$O$35,12,FALSE)*(1+P30)*(1+(R30/9)),IF(AND(E30='2. AWARDS'!I$7,O30=MAX(N30,Q30),VLOOKUP(F30,'2. AWARDS'!$C$9:$O$35,12,FALSE)=0),X30*(1+P30)*(1+(R30/9)),IF(AND(E30='2. AWARDS'!J$7,O30=MAX(N30,Q30),VLOOKUP(F30,'2. AWARDS'!$C$9:$O$35,13,FALSE)&lt;&gt;0),VLOOKUP(F30,'2. AWARDS'!$C$9:$O$35,13,FALSE)*(1+P30)*(1+(R30/9)),IF(AND(E30='2. AWARDS'!J$7,O30=MAX(N30,Q30),VLOOKUP(F30,'2. AWARDS'!$C$9:$O$35,13,FALSE)=0),X30*(1+P30)*(1+(R30/9)),IF(AND(O30&lt;N30,O30&lt;Q30),X30*(1+P30),IF(AND(O30=N30,N30&lt;Q30,E30='2. AWARDS'!F$7),VLOOKUP(F30,'2. AWARDS'!$C$9:$O$35,9,FALSE)*(1+P30),IF(AND(O30=N30,N30&lt;Q30,E30='2. AWARDS'!G$7),VLOOKUP(F30,'2. AWARDS'!$C$9:$O$35,10,FALSE)*(1+P30),IF(AND(O30=N30,N30&lt;Q30,E30='2. AWARDS'!H$7),VLOOKUP(F30,'2. AWARDS'!$C$9:$O$35,11,FALSE)*(1+P30),IF(AND(O30=N30,N30&lt;Q30,E30='2. AWARDS'!I$7),VLOOKUP(F30,'2. AWARDS'!$C$9:$O$35,12,FALSE)*(1+P30),IF(AND(O30=N30,N30&lt;Q30,E30='2. AWARDS'!J$7),VLOOKUP(F30,'2. AWARDS'!$C$9:$O$35,13,FALSE)*(1+P30),IF(AND(O30=Q30,N30&gt;Q30),X30*(1+P30)*(1+(R30/9)),IF(AND(E30='2. AWARDS'!F$7,O30&gt;N30,O30&lt;Q30,VLOOKUP(F30,'2. AWARDS'!$C$9:$O$35,9,FALSE)&lt;&gt;0),VLOOKUP(F30,'2. AWARDS'!$C$9:$O$35,9,FALSE)*(1+P30),IF(AND(E30='2. AWARDS'!G$7,O30&gt;N30,O30&lt;Q30,VLOOKUP(F30,'2. AWARDS'!$C$9:$O$35,10,FALSE)&lt;&gt;0),VLOOKUP(F30,'2. AWARDS'!$C$9:$O$35,10,FALSE)*(1+P30),IF(AND(E30='2. AWARDS'!H$7,O30&gt;N30,O30&lt;Q30,VLOOKUP(F30,'2. AWARDS'!$C$9:$O$35,11,FALSE)&lt;&gt;0),VLOOKUP(F30,'2. AWARDS'!$C$9:$O$35,11,FALSE)*(1+P30),IF(AND(E30='2. AWARDS'!I$7,O30&gt;N30,O30&lt;Q30,VLOOKUP(F30,'2. AWARDS'!$C$9:$O$35,12,FALSE)&lt;&gt;0),VLOOKUP(F30,'2. AWARDS'!$C$9:$O$35,12,FALSE)*(1+P30),IF(AND(E30='2. AWARDS'!J$7,O30&gt;N30,O30&lt;Q30,VLOOKUP(F30,'2. AWARDS'!$C$9:$O$35,13,FALSE)&lt;&gt;0),VLOOKUP(F30,'2. AWARDS'!$C$9:$O$35,13,FALSE)*(1+P30),X30*(1+P30))))))))))))))))))))))))))))))))))</f>
        <v>#N/A</v>
      </c>
      <c r="AA30" s="661" t="e">
        <f t="shared" si="2"/>
        <v>#N/A</v>
      </c>
      <c r="AB30" s="683"/>
      <c r="AC30" s="774"/>
      <c r="AD30" s="774"/>
      <c r="AE30" s="774"/>
      <c r="AF30" s="781">
        <f t="shared" si="9"/>
        <v>0</v>
      </c>
      <c r="AG30" s="781" t="e">
        <f>HLOOKUP(E30,'2. AWARDS'!$F$7:$J$40,32,FALSE)/5*HLOOKUP(E30,'2. AWARDS'!$F$7:$J$40,31,FALSE)*MAX(W30:AA30)*M30*HLOOKUP(E30,'2. AWARDS'!$F$7:$J$40,34,FALSE)*L30/(38*2)</f>
        <v>#N/A</v>
      </c>
      <c r="AH30" s="783" t="e">
        <f>((HLOOKUP(E30,'2. AWARDS'!$F$7:$J$42,36,FALSE)/HLOOKUP(E30,'2. AWARDS'!$F$7:$J$42,35,FALSE)*HLOOKUP(E30,'2. AWARDS'!$F$7:$J$45,39,FALSE))/(HLOOKUP(E30,'2. AWARDS'!$F$7:$J$45,31,FALSE)*2)*L30*M30*HLOOKUP(E30,'2. AWARDS'!$F$7:$J$45,31,FALSE)*MAX(W30:AA30))</f>
        <v>#N/A</v>
      </c>
      <c r="AI30" s="474"/>
      <c r="AJ30" s="804"/>
      <c r="AK30" s="801"/>
      <c r="AL30" s="801"/>
      <c r="AM30" s="802"/>
      <c r="AN30" s="805"/>
      <c r="AO30" s="836">
        <f>IF(AJ30="YES",HLOOKUP(E30,'2. AWARDS'!$F$7:$J$38,32,FALSE)/5*HLOOKUP(E30,'2. AWARDS'!$F$7:$J$37,31,FALSE)*L30/(HLOOKUP(E30,'2. AWARDS'!$F$7:$J$37,31,FALSE)*2)*M30*MAX(W30:AA30)*(1+HLOOKUP(E30,'2. AWARDS'!$F$7:$J$43,37,FALSE))*(1-AM30),0)</f>
        <v>0</v>
      </c>
      <c r="AP30" s="836">
        <f>IF(AK30="YES",HLOOKUP(E30,'2. AWARDS'!$F$7:$J$39,33,FALSE)/5*HLOOKUP(E30,'2. AWARDS'!$F$7:$J$37,31,FALSE)*L30/(HLOOKUP(E30,'2. AWARDS'!$F$7:$J$37,31,FALSE)*2)*M30*MAX(W30:AA30)*(1+HLOOKUP(E30,'2. AWARDS'!$F$7:$J$43,37,FALSE))*(1-AM30),0)</f>
        <v>0</v>
      </c>
      <c r="AQ30" s="838">
        <f>IF(AL30="YES",HLOOKUP(E30,'2. AWARDS'!$F$7:$J$47,40,FALSE)/5*HLOOKUP(E30,'2. AWARDS'!$F$7:$J$37,31,FALSE)*L30/(HLOOKUP(E30,'2. AWARDS'!$F$7:$J$37,31,FALSE)*2)*M30*MAX(W30:AA30)*(1+HLOOKUP(E30,'2. AWARDS'!$F$7:$J$43,37,FALSE))*(1-AM30),0)</f>
        <v>0</v>
      </c>
      <c r="AR30" s="839">
        <f>(IF(AJ30="YES",HLOOKUP(E30,'2. AWARDS'!$F$7:$J$39,32,FALSE),0)+IF(AK30="YES",HLOOKUP(E30,'2. AWARDS'!$F$7:$J$39,33,FALSE),0)+IF(AL30="YES",HLOOKUP(E30,'2. AWARDS'!$F$7:$J$47,40,FALSE),0))*L30/76*7.6*AM30*AN30*M30</f>
        <v>0</v>
      </c>
      <c r="AS30" s="683"/>
      <c r="AT30" s="215">
        <f>'1. KEY DATA'!J$29</f>
        <v>0</v>
      </c>
      <c r="AU30" s="218">
        <f>'1. KEY DATA'!J$30</f>
        <v>0.09</v>
      </c>
      <c r="AV30" s="502"/>
      <c r="AW30" s="1104">
        <f t="shared" si="3"/>
        <v>0</v>
      </c>
      <c r="AX30" s="176"/>
      <c r="AY30" s="173"/>
      <c r="AZ30" s="452">
        <f t="shared" si="4"/>
        <v>0</v>
      </c>
      <c r="BA30" s="405" t="str">
        <f t="shared" si="10"/>
        <v>-</v>
      </c>
      <c r="BB30" s="406" t="str">
        <f t="shared" si="10"/>
        <v>-</v>
      </c>
      <c r="BC30" s="406" t="str">
        <f t="shared" si="10"/>
        <v>-</v>
      </c>
      <c r="BD30" s="406" t="str">
        <f t="shared" si="10"/>
        <v>-</v>
      </c>
      <c r="BE30" s="406" t="str">
        <f t="shared" si="10"/>
        <v>-</v>
      </c>
      <c r="BF30" s="406" t="str">
        <f t="shared" si="10"/>
        <v>-</v>
      </c>
      <c r="BG30" s="406" t="str">
        <f t="shared" si="10"/>
        <v>-</v>
      </c>
      <c r="BH30" s="406" t="str">
        <f t="shared" si="10"/>
        <v>-</v>
      </c>
      <c r="BI30" s="406" t="str">
        <f t="shared" si="10"/>
        <v>-</v>
      </c>
      <c r="BJ30" s="406" t="str">
        <f t="shared" si="10"/>
        <v>-</v>
      </c>
      <c r="BK30" s="406" t="str">
        <f t="shared" si="10"/>
        <v>-</v>
      </c>
      <c r="BL30" s="406" t="str">
        <f t="shared" si="10"/>
        <v>-</v>
      </c>
      <c r="BM30" s="406" t="str">
        <f t="shared" si="10"/>
        <v>-</v>
      </c>
      <c r="BN30" s="406" t="str">
        <f t="shared" si="10"/>
        <v>-</v>
      </c>
      <c r="BO30" s="407" t="str">
        <f t="shared" si="10"/>
        <v>-</v>
      </c>
      <c r="BP30" s="1539"/>
    </row>
    <row r="31" spans="2:68" s="9" customFormat="1">
      <c r="B31" s="505"/>
      <c r="C31" s="80"/>
      <c r="D31" s="699">
        <f t="shared" si="1"/>
        <v>0</v>
      </c>
      <c r="E31" s="626"/>
      <c r="F31" s="652"/>
      <c r="G31" s="702"/>
      <c r="H31" s="693"/>
      <c r="I31" s="694"/>
      <c r="J31" s="1113"/>
      <c r="K31" s="1114"/>
      <c r="L31" s="763"/>
      <c r="M31" s="689"/>
      <c r="N31" s="629"/>
      <c r="O31" s="629"/>
      <c r="P31" s="638">
        <f t="shared" si="6"/>
        <v>0.03</v>
      </c>
      <c r="Q31" s="629"/>
      <c r="R31" s="673" t="str">
        <f t="shared" si="7"/>
        <v>-</v>
      </c>
      <c r="S31" s="649"/>
      <c r="T31" s="647"/>
      <c r="U31" s="827"/>
      <c r="V31" s="670"/>
      <c r="W31" s="798">
        <f t="shared" si="8"/>
        <v>0</v>
      </c>
      <c r="X31" s="656">
        <f>IF(OR(E31=0,F31=0),0,IF(E31='2. AWARDS'!F$7,VLOOKUP(F31,'2. AWARDS'!$C$9:$F$35,4,FALSE),IF(E31='2. AWARDS'!G$7,VLOOKUP(F31,'2. AWARDS'!$C$9:$G$35,5,FALSE),IF(E31='2. AWARDS'!H$7,VLOOKUP(F31,'2. AWARDS'!$C$9:$H$35,6,FALSE),IF(E31='2. AWARDS'!I$7,VLOOKUP(F31,'2. AWARDS'!$C$9:$I$35,7,FALSE),VLOOKUP(F31,'2. AWARDS'!$C$9:$J$35,8,FALSE))))))</f>
        <v>0</v>
      </c>
      <c r="Y31" s="657">
        <f>IF(OR(E31=0,F31=0),0,IF(AND(N31=0,E31='2. AWARDS'!F$7,VLOOKUP(F31,'2. AWARDS'!$C$9:$O$35,9,FALSE)&lt;&gt;0),"date missing",IF(AND(N31=0,E31='2. AWARDS'!G$7,VLOOKUP(F31,'2. AWARDS'!$C$9:$O$35,10,FALSE)&lt;&gt;0),"date missing",IF(AND(N31=0,E31='2. AWARDS'!H$7,VLOOKUP(F31,'2. AWARDS'!$C$9:$O$35,11,FALSE)&lt;&gt;0),"date missing",IF(AND(N31=0,E31='2. AWARDS'!I$7,VLOOKUP(F31,'2. AWARDS'!$C$9:$O$35,12,FALSE)&lt;&gt;0),"date missing",IF(AND(N31=0,E31='2. AWARDS'!J$7,VLOOKUP(F31,'2. AWARDS'!$C$9:$O$35,13,FALSE)&lt;&gt;0),"date missing",IF(N31=0,0,IF(OR(N31=MIN(O31,Q31),AND(N31&lt;O31,N31&lt;Q31,N31&gt;0)),IF(E31='2. AWARDS'!F$7,VLOOKUP(F31,'2. AWARDS'!$C$9:$O$35,9,FALSE),IF(E31='2. AWARDS'!G$7,VLOOKUP(F31,'2. AWARDS'!$C$9:$O$35,10,FALSE),IF(E31='2. AWARDS'!H$7,VLOOKUP(F31,'2. AWARDS'!$C$9:$O$35,11,FALSE),IF(E31='2. AWARDS'!I$7,VLOOKUP(F31,'2. AWARDS'!$C$9:$O$35,12,FALSE),IF(E31='2. AWARDS'!J$7,VLOOKUP(F31,'2. AWARDS'!$C$9:$O$35,13,FALSE)))))),IF(AND(N31&gt;O31,N31&lt;Q31),IF(E31='2. AWARDS'!F$7,(1+P31)*VLOOKUP(F31,'2. AWARDS'!$C$9:$O$35,9,FALSE),IF(E31='2. AWARDS'!G$7,(1+P31)*VLOOKUP(F31,'2. AWARDS'!$C$9:$O$35,10,FALSE),IF(E31='2. AWARDS'!H$7,(1+P31)*VLOOKUP(F31,'2. AWARDS'!$C$9:$O$35,11,FALSE),IF(E31='2. AWARDS'!I$7,(1+P31)*VLOOKUP(F31,'2. AWARDS'!$C$9:$O$35,12,FALSE),IF(E31='2. AWARDS'!J$7,(1+P31)*VLOOKUP(F31,'2. AWARDS'!$C$9:$O$35,13,FALSE)))))),IF(AND(N31&lt;O31,N31&gt;Q31),IF(E31='2. AWARDS'!F$7,(1+(R31/9))*VLOOKUP(F31,'2. AWARDS'!$C$9:$O$35,9,FALSE),IF(E31='2. AWARDS'!G$7,(1+(R31/9))*VLOOKUP(F31,'2. AWARDS'!$C$9:$O$35,10,FALSE),IF(E31='2. AWARDS'!H$7,(1+(R31/9))*VLOOKUP(F31,'2. AWARDS'!$C$9:$O$35,11,FALSE),IF(E31='2. AWARDS'!I$7,(1+(R31/9))*VLOOKUP(F31,'2. AWARDS'!$C$9:$O$35,12,FALSE),IF(E31='2. AWARDS'!J$7,(1+(R31/9))*VLOOKUP(F31,'2. AWARDS'!$C$9:$O$35,13,FALSE)))))),IF(OR(N31=MAX(O31,Q31),AND(N31&gt;O31,N31&gt;Q31)),IF(E31='2. AWARDS'!F$7,((1+(R31/9))*(1+P31))*VLOOKUP(F31,'2. AWARDS'!$C$9:$O$35,9,FALSE),IF(E31='2. AWARDS'!G$7,((1+(R31/9))*(1+P31))*VLOOKUP(F31,'2. AWARDS'!$C$9:$O$35,10,FALSE),IF(E31='2. AWARDS'!H$7,((1+(R31/9))*(1+P31))*VLOOKUP(F31,'2. AWARDS'!$C$9:$O$35,11,FALSE),IF(E31='2. AWARDS'!I$7,((1+(R31/9))*(1+P31))*VLOOKUP(F31,'2. AWARDS'!$C$9:$O$35,12,FALSE),IF(E31='2. AWARDS'!J$7,((1+(R31/9))*(1+P31))*VLOOKUP(F31,'2. AWARDS'!$C$9:$O$35,13,FALSE)))))),"?")))))))))))</f>
        <v>0</v>
      </c>
      <c r="Z31" s="656" t="e">
        <f>IF(AND(E31='2. AWARDS'!F$7,O31&gt;N31,O31&gt;Q31,VLOOKUP(F31,'2. AWARDS'!$C$9:$O$35,9,FALSE)&lt;&gt;0),VLOOKUP(F31,'2. AWARDS'!$C$9:$O$35,9,FALSE)*(1+P31)*(1+(R31/9)),IF(AND(E31='2. AWARDS'!F$7,O31&gt;N31,O31&gt;Q31,VLOOKUP(F31,'2. AWARDS'!$C$9:$O$35,9,FALSE)=0),X31*(1+P31)*(1+(R31/9)),IF(AND(E31='2. AWARDS'!G$7,O31&gt;N31,O31&gt;Q31,VLOOKUP(F31,'2. AWARDS'!$C$9:$O$35,10,FALSE)&lt;&gt;0),VLOOKUP(F31,'2. AWARDS'!$C$9:$O$35,10,FALSE)*(1+P31)*(1+(R31/9)),IF(AND(E31='2. AWARDS'!G$7,O31&gt;N31,O31&gt;Q31,VLOOKUP(F31,'2. AWARDS'!$C$9:$O$35,10,FALSE)=0),X31*(1+P31)*(1+(R31/9)),IF(AND(E31='2. AWARDS'!H$7,O31&gt;N31,O31&gt;Q31,VLOOKUP(F31,'2. AWARDS'!$C$9:$O$35,11,FALSE)&lt;&gt;0),VLOOKUP(F31,'2. AWARDS'!$C$9:$O$35,11,FALSE)*(1+P31)*(1+(R31/9)),IF(AND(E31='2. AWARDS'!H$7,O31&gt;N31,O31&gt;Q31,VLOOKUP(F31,'2. AWARDS'!$C$9:$O$35,11,FALSE)=0),X31*(1+P31)*(1+(R31/9)),IF(AND(E31='2. AWARDS'!I$7,O31&gt;N31,O31&gt;Q31,VLOOKUP(F31,'2. AWARDS'!$C$9:$O$35,12,FALSE)&lt;&gt;0),VLOOKUP(F31,'2. AWARDS'!$C$9:$O$35,12,FALSE)*(1+P31)*(1+(R31/9)),IF(AND(E31='2. AWARDS'!I$7,O31&gt;N31,O31&gt;Q31,VLOOKUP(F31,'2. AWARDS'!$C$9:$O$35,12,FALSE)=0),X31*(1+P31)*(1+(R31/9)),IF(AND(E31='2. AWARDS'!J$7,O31&gt;N31,O31&gt;Q31,VLOOKUP(F31,'2. AWARDS'!$C$9:$O$35,13,FALSE)&lt;&gt;0),VLOOKUP(F31,'2. AWARDS'!$C$9:$O$35,13,FALSE)*(1+P31)*(1+(R31/9)),IF(AND(E31='2. AWARDS'!J$7,O31&gt;N31,O31&gt;Q31,VLOOKUP(F31,'2. AWARDS'!$C$9:$O$35,13,FALSE)=0),X31*(1+P31)*(1+(R31/9)),IF(AND(O31&lt;N31,O31&gt;Q31),X31*(1+P31)*(1+(R31/9)),IF(AND(E31='2. AWARDS'!F$7,O31=MAX(N31,Q31),VLOOKUP(F31,'2. AWARDS'!$C$9:$O$35,9,FALSE)&lt;&gt;0),VLOOKUP(F31,'2. AWARDS'!$C$9:$O$35,9,FALSE)*(1+P31)*(1+(R31/9)),IF(AND(E31='2. AWARDS'!F$7,O31=MAX(N31,Q31),VLOOKUP(F31,'2. AWARDS'!$C$9:$O$35,9,FALSE)=0),X31*(1+P31)*(1+(R31/9)),IF(AND(E31='2. AWARDS'!G$7,O31=MAX(N31,Q31),VLOOKUP(F31,'2. AWARDS'!$C$9:$O$35,10,FALSE)&lt;&gt;0),VLOOKUP(F31,'2. AWARDS'!$C$9:$O$35,10,FALSE)*(1+P31)*(1+(R31/9)),IF(AND(E31='2. AWARDS'!G$7,O31=MAX(N31,Q31),VLOOKUP(F31,'2. AWARDS'!$C$9:$O$35,10,FALSE)=0),X31*(1+P31)*(1+(R31/9)),IF(AND(E31='2. AWARDS'!H$7,O31=MAX(N31,Q31),VLOOKUP(F31,'2. AWARDS'!$C$9:$O$35,11,FALSE)&lt;&gt;0),VLOOKUP(F31,'2. AWARDS'!$C$9:$O$35,11,FALSE)*(1+P31)*(1+(R31/9)),IF(AND(E31='2. AWARDS'!H$7,O31=MAX(N31,Q31),VLOOKUP(F31,'2. AWARDS'!$C$9:$O$35,11,FALSE)=0),X31*(1+P31)*(1+(R31/9)),IF(AND(E31='2. AWARDS'!I$7,O31=MAX(N31,Q31),VLOOKUP(F31,'2. AWARDS'!$C$9:$O$35,12,FALSE)&lt;&gt;0),VLOOKUP(F31,'2. AWARDS'!$C$9:$O$35,12,FALSE)*(1+P31)*(1+(R31/9)),IF(AND(E31='2. AWARDS'!I$7,O31=MAX(N31,Q31),VLOOKUP(F31,'2. AWARDS'!$C$9:$O$35,12,FALSE)=0),X31*(1+P31)*(1+(R31/9)),IF(AND(E31='2. AWARDS'!J$7,O31=MAX(N31,Q31),VLOOKUP(F31,'2. AWARDS'!$C$9:$O$35,13,FALSE)&lt;&gt;0),VLOOKUP(F31,'2. AWARDS'!$C$9:$O$35,13,FALSE)*(1+P31)*(1+(R31/9)),IF(AND(E31='2. AWARDS'!J$7,O31=MAX(N31,Q31),VLOOKUP(F31,'2. AWARDS'!$C$9:$O$35,13,FALSE)=0),X31*(1+P31)*(1+(R31/9)),IF(AND(O31&lt;N31,O31&lt;Q31),X31*(1+P31),IF(AND(O31=N31,N31&lt;Q31,E31='2. AWARDS'!F$7),VLOOKUP(F31,'2. AWARDS'!$C$9:$O$35,9,FALSE)*(1+P31),IF(AND(O31=N31,N31&lt;Q31,E31='2. AWARDS'!G$7),VLOOKUP(F31,'2. AWARDS'!$C$9:$O$35,10,FALSE)*(1+P31),IF(AND(O31=N31,N31&lt;Q31,E31='2. AWARDS'!H$7),VLOOKUP(F31,'2. AWARDS'!$C$9:$O$35,11,FALSE)*(1+P31),IF(AND(O31=N31,N31&lt;Q31,E31='2. AWARDS'!I$7),VLOOKUP(F31,'2. AWARDS'!$C$9:$O$35,12,FALSE)*(1+P31),IF(AND(O31=N31,N31&lt;Q31,E31='2. AWARDS'!J$7),VLOOKUP(F31,'2. AWARDS'!$C$9:$O$35,13,FALSE)*(1+P31),IF(AND(O31=Q31,N31&gt;Q31),X31*(1+P31)*(1+(R31/9)),IF(AND(E31='2. AWARDS'!F$7,O31&gt;N31,O31&lt;Q31,VLOOKUP(F31,'2. AWARDS'!$C$9:$O$35,9,FALSE)&lt;&gt;0),VLOOKUP(F31,'2. AWARDS'!$C$9:$O$35,9,FALSE)*(1+P31),IF(AND(E31='2. AWARDS'!G$7,O31&gt;N31,O31&lt;Q31,VLOOKUP(F31,'2. AWARDS'!$C$9:$O$35,10,FALSE)&lt;&gt;0),VLOOKUP(F31,'2. AWARDS'!$C$9:$O$35,10,FALSE)*(1+P31),IF(AND(E31='2. AWARDS'!H$7,O31&gt;N31,O31&lt;Q31,VLOOKUP(F31,'2. AWARDS'!$C$9:$O$35,11,FALSE)&lt;&gt;0),VLOOKUP(F31,'2. AWARDS'!$C$9:$O$35,11,FALSE)*(1+P31),IF(AND(E31='2. AWARDS'!I$7,O31&gt;N31,O31&lt;Q31,VLOOKUP(F31,'2. AWARDS'!$C$9:$O$35,12,FALSE)&lt;&gt;0),VLOOKUP(F31,'2. AWARDS'!$C$9:$O$35,12,FALSE)*(1+P31),IF(AND(E31='2. AWARDS'!J$7,O31&gt;N31,O31&lt;Q31,VLOOKUP(F31,'2. AWARDS'!$C$9:$O$35,13,FALSE)&lt;&gt;0),VLOOKUP(F31,'2. AWARDS'!$C$9:$O$35,13,FALSE)*(1+P31),X31*(1+P31))))))))))))))))))))))))))))))))))</f>
        <v>#N/A</v>
      </c>
      <c r="AA31" s="661" t="e">
        <f t="shared" si="2"/>
        <v>#N/A</v>
      </c>
      <c r="AB31" s="683"/>
      <c r="AC31" s="774"/>
      <c r="AD31" s="774"/>
      <c r="AE31" s="774"/>
      <c r="AF31" s="781">
        <f t="shared" si="9"/>
        <v>0</v>
      </c>
      <c r="AG31" s="781" t="e">
        <f>HLOOKUP(E31,'2. AWARDS'!$F$7:$J$40,32,FALSE)/5*HLOOKUP(E31,'2. AWARDS'!$F$7:$J$40,31,FALSE)*MAX(W31:AA31)*M31*HLOOKUP(E31,'2. AWARDS'!$F$7:$J$40,34,FALSE)*L31/(38*2)</f>
        <v>#N/A</v>
      </c>
      <c r="AH31" s="783" t="e">
        <f>((HLOOKUP(E31,'2. AWARDS'!$F$7:$J$42,36,FALSE)/HLOOKUP(E31,'2. AWARDS'!$F$7:$J$42,35,FALSE)*HLOOKUP(E31,'2. AWARDS'!$F$7:$J$45,39,FALSE))/(HLOOKUP(E31,'2. AWARDS'!$F$7:$J$45,31,FALSE)*2)*L31*M31*HLOOKUP(E31,'2. AWARDS'!$F$7:$J$45,31,FALSE)*MAX(W31:AA31))</f>
        <v>#N/A</v>
      </c>
      <c r="AI31" s="474"/>
      <c r="AJ31" s="804"/>
      <c r="AK31" s="801"/>
      <c r="AL31" s="801"/>
      <c r="AM31" s="802"/>
      <c r="AN31" s="805"/>
      <c r="AO31" s="836">
        <f>IF(AJ31="YES",HLOOKUP(E31,'2. AWARDS'!$F$7:$J$38,32,FALSE)/5*HLOOKUP(E31,'2. AWARDS'!$F$7:$J$37,31,FALSE)*L31/(HLOOKUP(E31,'2. AWARDS'!$F$7:$J$37,31,FALSE)*2)*M31*MAX(W31:AA31)*(1+HLOOKUP(E31,'2. AWARDS'!$F$7:$J$43,37,FALSE))*(1-AM31),0)</f>
        <v>0</v>
      </c>
      <c r="AP31" s="836">
        <f>IF(AK31="YES",HLOOKUP(E31,'2. AWARDS'!$F$7:$J$39,33,FALSE)/5*HLOOKUP(E31,'2. AWARDS'!$F$7:$J$37,31,FALSE)*L31/(HLOOKUP(E31,'2. AWARDS'!$F$7:$J$37,31,FALSE)*2)*M31*MAX(W31:AA31)*(1+HLOOKUP(E31,'2. AWARDS'!$F$7:$J$43,37,FALSE))*(1-AM31),0)</f>
        <v>0</v>
      </c>
      <c r="AQ31" s="838">
        <f>IF(AL31="YES",HLOOKUP(E31,'2. AWARDS'!$F$7:$J$47,40,FALSE)/5*HLOOKUP(E31,'2. AWARDS'!$F$7:$J$37,31,FALSE)*L31/(HLOOKUP(E31,'2. AWARDS'!$F$7:$J$37,31,FALSE)*2)*M31*MAX(W31:AA31)*(1+HLOOKUP(E31,'2. AWARDS'!$F$7:$J$43,37,FALSE))*(1-AM31),0)</f>
        <v>0</v>
      </c>
      <c r="AR31" s="839">
        <f>(IF(AJ31="YES",HLOOKUP(E31,'2. AWARDS'!$F$7:$J$39,32,FALSE),0)+IF(AK31="YES",HLOOKUP(E31,'2. AWARDS'!$F$7:$J$39,33,FALSE),0)+IF(AL31="YES",HLOOKUP(E31,'2. AWARDS'!$F$7:$J$47,40,FALSE),0))*L31/76*7.6*AM31*AN31*M31</f>
        <v>0</v>
      </c>
      <c r="AS31" s="683"/>
      <c r="AT31" s="215">
        <f>'1. KEY DATA'!J$29</f>
        <v>0</v>
      </c>
      <c r="AU31" s="218">
        <f>'1. KEY DATA'!J$30</f>
        <v>0.09</v>
      </c>
      <c r="AV31" s="502"/>
      <c r="AW31" s="1104">
        <f t="shared" si="3"/>
        <v>0</v>
      </c>
      <c r="AX31" s="176"/>
      <c r="AY31" s="173"/>
      <c r="AZ31" s="452">
        <f t="shared" si="4"/>
        <v>0</v>
      </c>
      <c r="BA31" s="405" t="str">
        <f t="shared" si="10"/>
        <v>-</v>
      </c>
      <c r="BB31" s="406" t="str">
        <f t="shared" si="10"/>
        <v>-</v>
      </c>
      <c r="BC31" s="406" t="str">
        <f t="shared" si="10"/>
        <v>-</v>
      </c>
      <c r="BD31" s="406" t="str">
        <f t="shared" si="10"/>
        <v>-</v>
      </c>
      <c r="BE31" s="406" t="str">
        <f t="shared" si="10"/>
        <v>-</v>
      </c>
      <c r="BF31" s="406" t="str">
        <f t="shared" si="10"/>
        <v>-</v>
      </c>
      <c r="BG31" s="406" t="str">
        <f t="shared" si="10"/>
        <v>-</v>
      </c>
      <c r="BH31" s="406" t="str">
        <f t="shared" si="10"/>
        <v>-</v>
      </c>
      <c r="BI31" s="406" t="str">
        <f t="shared" si="10"/>
        <v>-</v>
      </c>
      <c r="BJ31" s="406" t="str">
        <f t="shared" si="10"/>
        <v>-</v>
      </c>
      <c r="BK31" s="406" t="str">
        <f t="shared" si="10"/>
        <v>-</v>
      </c>
      <c r="BL31" s="406" t="str">
        <f t="shared" si="10"/>
        <v>-</v>
      </c>
      <c r="BM31" s="406" t="str">
        <f t="shared" si="10"/>
        <v>-</v>
      </c>
      <c r="BN31" s="406" t="str">
        <f t="shared" si="10"/>
        <v>-</v>
      </c>
      <c r="BO31" s="407" t="str">
        <f t="shared" si="10"/>
        <v>-</v>
      </c>
      <c r="BP31" s="1539"/>
    </row>
    <row r="32" spans="2:68" s="9" customFormat="1">
      <c r="B32" s="505"/>
      <c r="C32" s="80"/>
      <c r="D32" s="699">
        <f t="shared" si="1"/>
        <v>0</v>
      </c>
      <c r="E32" s="626"/>
      <c r="F32" s="652"/>
      <c r="G32" s="702"/>
      <c r="H32" s="693"/>
      <c r="I32" s="694"/>
      <c r="J32" s="1113"/>
      <c r="K32" s="1114"/>
      <c r="L32" s="763"/>
      <c r="M32" s="689"/>
      <c r="N32" s="629"/>
      <c r="O32" s="629"/>
      <c r="P32" s="638">
        <f t="shared" si="6"/>
        <v>0.03</v>
      </c>
      <c r="Q32" s="629"/>
      <c r="R32" s="673" t="str">
        <f t="shared" si="7"/>
        <v>-</v>
      </c>
      <c r="S32" s="649"/>
      <c r="T32" s="647"/>
      <c r="U32" s="827"/>
      <c r="V32" s="670"/>
      <c r="W32" s="798">
        <f t="shared" si="8"/>
        <v>0</v>
      </c>
      <c r="X32" s="656">
        <f>IF(OR(E32=0,F32=0),0,IF(E32='2. AWARDS'!F$7,VLOOKUP(F32,'2. AWARDS'!$C$9:$F$35,4,FALSE),IF(E32='2. AWARDS'!G$7,VLOOKUP(F32,'2. AWARDS'!$C$9:$G$35,5,FALSE),IF(E32='2. AWARDS'!H$7,VLOOKUP(F32,'2. AWARDS'!$C$9:$H$35,6,FALSE),IF(E32='2. AWARDS'!I$7,VLOOKUP(F32,'2. AWARDS'!$C$9:$I$35,7,FALSE),VLOOKUP(F32,'2. AWARDS'!$C$9:$J$35,8,FALSE))))))</f>
        <v>0</v>
      </c>
      <c r="Y32" s="657">
        <f>IF(OR(E32=0,F32=0),0,IF(AND(N32=0,E32='2. AWARDS'!F$7,VLOOKUP(F32,'2. AWARDS'!$C$9:$O$35,9,FALSE)&lt;&gt;0),"date missing",IF(AND(N32=0,E32='2. AWARDS'!G$7,VLOOKUP(F32,'2. AWARDS'!$C$9:$O$35,10,FALSE)&lt;&gt;0),"date missing",IF(AND(N32=0,E32='2. AWARDS'!H$7,VLOOKUP(F32,'2. AWARDS'!$C$9:$O$35,11,FALSE)&lt;&gt;0),"date missing",IF(AND(N32=0,E32='2. AWARDS'!I$7,VLOOKUP(F32,'2. AWARDS'!$C$9:$O$35,12,FALSE)&lt;&gt;0),"date missing",IF(AND(N32=0,E32='2. AWARDS'!J$7,VLOOKUP(F32,'2. AWARDS'!$C$9:$O$35,13,FALSE)&lt;&gt;0),"date missing",IF(N32=0,0,IF(OR(N32=MIN(O32,Q32),AND(N32&lt;O32,N32&lt;Q32,N32&gt;0)),IF(E32='2. AWARDS'!F$7,VLOOKUP(F32,'2. AWARDS'!$C$9:$O$35,9,FALSE),IF(E32='2. AWARDS'!G$7,VLOOKUP(F32,'2. AWARDS'!$C$9:$O$35,10,FALSE),IF(E32='2. AWARDS'!H$7,VLOOKUP(F32,'2. AWARDS'!$C$9:$O$35,11,FALSE),IF(E32='2. AWARDS'!I$7,VLOOKUP(F32,'2. AWARDS'!$C$9:$O$35,12,FALSE),IF(E32='2. AWARDS'!J$7,VLOOKUP(F32,'2. AWARDS'!$C$9:$O$35,13,FALSE)))))),IF(AND(N32&gt;O32,N32&lt;Q32),IF(E32='2. AWARDS'!F$7,(1+P32)*VLOOKUP(F32,'2. AWARDS'!$C$9:$O$35,9,FALSE),IF(E32='2. AWARDS'!G$7,(1+P32)*VLOOKUP(F32,'2. AWARDS'!$C$9:$O$35,10,FALSE),IF(E32='2. AWARDS'!H$7,(1+P32)*VLOOKUP(F32,'2. AWARDS'!$C$9:$O$35,11,FALSE),IF(E32='2. AWARDS'!I$7,(1+P32)*VLOOKUP(F32,'2. AWARDS'!$C$9:$O$35,12,FALSE),IF(E32='2. AWARDS'!J$7,(1+P32)*VLOOKUP(F32,'2. AWARDS'!$C$9:$O$35,13,FALSE)))))),IF(AND(N32&lt;O32,N32&gt;Q32),IF(E32='2. AWARDS'!F$7,(1+(R32/9))*VLOOKUP(F32,'2. AWARDS'!$C$9:$O$35,9,FALSE),IF(E32='2. AWARDS'!G$7,(1+(R32/9))*VLOOKUP(F32,'2. AWARDS'!$C$9:$O$35,10,FALSE),IF(E32='2. AWARDS'!H$7,(1+(R32/9))*VLOOKUP(F32,'2. AWARDS'!$C$9:$O$35,11,FALSE),IF(E32='2. AWARDS'!I$7,(1+(R32/9))*VLOOKUP(F32,'2. AWARDS'!$C$9:$O$35,12,FALSE),IF(E32='2. AWARDS'!J$7,(1+(R32/9))*VLOOKUP(F32,'2. AWARDS'!$C$9:$O$35,13,FALSE)))))),IF(OR(N32=MAX(O32,Q32),AND(N32&gt;O32,N32&gt;Q32)),IF(E32='2. AWARDS'!F$7,((1+(R32/9))*(1+P32))*VLOOKUP(F32,'2. AWARDS'!$C$9:$O$35,9,FALSE),IF(E32='2. AWARDS'!G$7,((1+(R32/9))*(1+P32))*VLOOKUP(F32,'2. AWARDS'!$C$9:$O$35,10,FALSE),IF(E32='2. AWARDS'!H$7,((1+(R32/9))*(1+P32))*VLOOKUP(F32,'2. AWARDS'!$C$9:$O$35,11,FALSE),IF(E32='2. AWARDS'!I$7,((1+(R32/9))*(1+P32))*VLOOKUP(F32,'2. AWARDS'!$C$9:$O$35,12,FALSE),IF(E32='2. AWARDS'!J$7,((1+(R32/9))*(1+P32))*VLOOKUP(F32,'2. AWARDS'!$C$9:$O$35,13,FALSE)))))),"?")))))))))))</f>
        <v>0</v>
      </c>
      <c r="Z32" s="656" t="e">
        <f>IF(AND(E32='2. AWARDS'!F$7,O32&gt;N32,O32&gt;Q32,VLOOKUP(F32,'2. AWARDS'!$C$9:$O$35,9,FALSE)&lt;&gt;0),VLOOKUP(F32,'2. AWARDS'!$C$9:$O$35,9,FALSE)*(1+P32)*(1+(R32/9)),IF(AND(E32='2. AWARDS'!F$7,O32&gt;N32,O32&gt;Q32,VLOOKUP(F32,'2. AWARDS'!$C$9:$O$35,9,FALSE)=0),X32*(1+P32)*(1+(R32/9)),IF(AND(E32='2. AWARDS'!G$7,O32&gt;N32,O32&gt;Q32,VLOOKUP(F32,'2. AWARDS'!$C$9:$O$35,10,FALSE)&lt;&gt;0),VLOOKUP(F32,'2. AWARDS'!$C$9:$O$35,10,FALSE)*(1+P32)*(1+(R32/9)),IF(AND(E32='2. AWARDS'!G$7,O32&gt;N32,O32&gt;Q32,VLOOKUP(F32,'2. AWARDS'!$C$9:$O$35,10,FALSE)=0),X32*(1+P32)*(1+(R32/9)),IF(AND(E32='2. AWARDS'!H$7,O32&gt;N32,O32&gt;Q32,VLOOKUP(F32,'2. AWARDS'!$C$9:$O$35,11,FALSE)&lt;&gt;0),VLOOKUP(F32,'2. AWARDS'!$C$9:$O$35,11,FALSE)*(1+P32)*(1+(R32/9)),IF(AND(E32='2. AWARDS'!H$7,O32&gt;N32,O32&gt;Q32,VLOOKUP(F32,'2. AWARDS'!$C$9:$O$35,11,FALSE)=0),X32*(1+P32)*(1+(R32/9)),IF(AND(E32='2. AWARDS'!I$7,O32&gt;N32,O32&gt;Q32,VLOOKUP(F32,'2. AWARDS'!$C$9:$O$35,12,FALSE)&lt;&gt;0),VLOOKUP(F32,'2. AWARDS'!$C$9:$O$35,12,FALSE)*(1+P32)*(1+(R32/9)),IF(AND(E32='2. AWARDS'!I$7,O32&gt;N32,O32&gt;Q32,VLOOKUP(F32,'2. AWARDS'!$C$9:$O$35,12,FALSE)=0),X32*(1+P32)*(1+(R32/9)),IF(AND(E32='2. AWARDS'!J$7,O32&gt;N32,O32&gt;Q32,VLOOKUP(F32,'2. AWARDS'!$C$9:$O$35,13,FALSE)&lt;&gt;0),VLOOKUP(F32,'2. AWARDS'!$C$9:$O$35,13,FALSE)*(1+P32)*(1+(R32/9)),IF(AND(E32='2. AWARDS'!J$7,O32&gt;N32,O32&gt;Q32,VLOOKUP(F32,'2. AWARDS'!$C$9:$O$35,13,FALSE)=0),X32*(1+P32)*(1+(R32/9)),IF(AND(O32&lt;N32,O32&gt;Q32),X32*(1+P32)*(1+(R32/9)),IF(AND(E32='2. AWARDS'!F$7,O32=MAX(N32,Q32),VLOOKUP(F32,'2. AWARDS'!$C$9:$O$35,9,FALSE)&lt;&gt;0),VLOOKUP(F32,'2. AWARDS'!$C$9:$O$35,9,FALSE)*(1+P32)*(1+(R32/9)),IF(AND(E32='2. AWARDS'!F$7,O32=MAX(N32,Q32),VLOOKUP(F32,'2. AWARDS'!$C$9:$O$35,9,FALSE)=0),X32*(1+P32)*(1+(R32/9)),IF(AND(E32='2. AWARDS'!G$7,O32=MAX(N32,Q32),VLOOKUP(F32,'2. AWARDS'!$C$9:$O$35,10,FALSE)&lt;&gt;0),VLOOKUP(F32,'2. AWARDS'!$C$9:$O$35,10,FALSE)*(1+P32)*(1+(R32/9)),IF(AND(E32='2. AWARDS'!G$7,O32=MAX(N32,Q32),VLOOKUP(F32,'2. AWARDS'!$C$9:$O$35,10,FALSE)=0),X32*(1+P32)*(1+(R32/9)),IF(AND(E32='2. AWARDS'!H$7,O32=MAX(N32,Q32),VLOOKUP(F32,'2. AWARDS'!$C$9:$O$35,11,FALSE)&lt;&gt;0),VLOOKUP(F32,'2. AWARDS'!$C$9:$O$35,11,FALSE)*(1+P32)*(1+(R32/9)),IF(AND(E32='2. AWARDS'!H$7,O32=MAX(N32,Q32),VLOOKUP(F32,'2. AWARDS'!$C$9:$O$35,11,FALSE)=0),X32*(1+P32)*(1+(R32/9)),IF(AND(E32='2. AWARDS'!I$7,O32=MAX(N32,Q32),VLOOKUP(F32,'2. AWARDS'!$C$9:$O$35,12,FALSE)&lt;&gt;0),VLOOKUP(F32,'2. AWARDS'!$C$9:$O$35,12,FALSE)*(1+P32)*(1+(R32/9)),IF(AND(E32='2. AWARDS'!I$7,O32=MAX(N32,Q32),VLOOKUP(F32,'2. AWARDS'!$C$9:$O$35,12,FALSE)=0),X32*(1+P32)*(1+(R32/9)),IF(AND(E32='2. AWARDS'!J$7,O32=MAX(N32,Q32),VLOOKUP(F32,'2. AWARDS'!$C$9:$O$35,13,FALSE)&lt;&gt;0),VLOOKUP(F32,'2. AWARDS'!$C$9:$O$35,13,FALSE)*(1+P32)*(1+(R32/9)),IF(AND(E32='2. AWARDS'!J$7,O32=MAX(N32,Q32),VLOOKUP(F32,'2. AWARDS'!$C$9:$O$35,13,FALSE)=0),X32*(1+P32)*(1+(R32/9)),IF(AND(O32&lt;N32,O32&lt;Q32),X32*(1+P32),IF(AND(O32=N32,N32&lt;Q32,E32='2. AWARDS'!F$7),VLOOKUP(F32,'2. AWARDS'!$C$9:$O$35,9,FALSE)*(1+P32),IF(AND(O32=N32,N32&lt;Q32,E32='2. AWARDS'!G$7),VLOOKUP(F32,'2. AWARDS'!$C$9:$O$35,10,FALSE)*(1+P32),IF(AND(O32=N32,N32&lt;Q32,E32='2. AWARDS'!H$7),VLOOKUP(F32,'2. AWARDS'!$C$9:$O$35,11,FALSE)*(1+P32),IF(AND(O32=N32,N32&lt;Q32,E32='2. AWARDS'!I$7),VLOOKUP(F32,'2. AWARDS'!$C$9:$O$35,12,FALSE)*(1+P32),IF(AND(O32=N32,N32&lt;Q32,E32='2. AWARDS'!J$7),VLOOKUP(F32,'2. AWARDS'!$C$9:$O$35,13,FALSE)*(1+P32),IF(AND(O32=Q32,N32&gt;Q32),X32*(1+P32)*(1+(R32/9)),IF(AND(E32='2. AWARDS'!F$7,O32&gt;N32,O32&lt;Q32,VLOOKUP(F32,'2. AWARDS'!$C$9:$O$35,9,FALSE)&lt;&gt;0),VLOOKUP(F32,'2. AWARDS'!$C$9:$O$35,9,FALSE)*(1+P32),IF(AND(E32='2. AWARDS'!G$7,O32&gt;N32,O32&lt;Q32,VLOOKUP(F32,'2. AWARDS'!$C$9:$O$35,10,FALSE)&lt;&gt;0),VLOOKUP(F32,'2. AWARDS'!$C$9:$O$35,10,FALSE)*(1+P32),IF(AND(E32='2. AWARDS'!H$7,O32&gt;N32,O32&lt;Q32,VLOOKUP(F32,'2. AWARDS'!$C$9:$O$35,11,FALSE)&lt;&gt;0),VLOOKUP(F32,'2. AWARDS'!$C$9:$O$35,11,FALSE)*(1+P32),IF(AND(E32='2. AWARDS'!I$7,O32&gt;N32,O32&lt;Q32,VLOOKUP(F32,'2. AWARDS'!$C$9:$O$35,12,FALSE)&lt;&gt;0),VLOOKUP(F32,'2. AWARDS'!$C$9:$O$35,12,FALSE)*(1+P32),IF(AND(E32='2. AWARDS'!J$7,O32&gt;N32,O32&lt;Q32,VLOOKUP(F32,'2. AWARDS'!$C$9:$O$35,13,FALSE)&lt;&gt;0),VLOOKUP(F32,'2. AWARDS'!$C$9:$O$35,13,FALSE)*(1+P32),X32*(1+P32))))))))))))))))))))))))))))))))))</f>
        <v>#N/A</v>
      </c>
      <c r="AA32" s="661" t="e">
        <f t="shared" si="2"/>
        <v>#N/A</v>
      </c>
      <c r="AB32" s="683"/>
      <c r="AC32" s="774"/>
      <c r="AD32" s="774"/>
      <c r="AE32" s="774"/>
      <c r="AF32" s="781">
        <f t="shared" si="9"/>
        <v>0</v>
      </c>
      <c r="AG32" s="781" t="e">
        <f>HLOOKUP(E32,'2. AWARDS'!$F$7:$J$40,32,FALSE)/5*HLOOKUP(E32,'2. AWARDS'!$F$7:$J$40,31,FALSE)*MAX(W32:AA32)*M32*HLOOKUP(E32,'2. AWARDS'!$F$7:$J$40,34,FALSE)*L32/(38*2)</f>
        <v>#N/A</v>
      </c>
      <c r="AH32" s="783" t="e">
        <f>((HLOOKUP(E32,'2. AWARDS'!$F$7:$J$42,36,FALSE)/HLOOKUP(E32,'2. AWARDS'!$F$7:$J$42,35,FALSE)*HLOOKUP(E32,'2. AWARDS'!$F$7:$J$45,39,FALSE))/(HLOOKUP(E32,'2. AWARDS'!$F$7:$J$45,31,FALSE)*2)*L32*M32*HLOOKUP(E32,'2. AWARDS'!$F$7:$J$45,31,FALSE)*MAX(W32:AA32))</f>
        <v>#N/A</v>
      </c>
      <c r="AI32" s="474"/>
      <c r="AJ32" s="804"/>
      <c r="AK32" s="801"/>
      <c r="AL32" s="801"/>
      <c r="AM32" s="802"/>
      <c r="AN32" s="805"/>
      <c r="AO32" s="836">
        <f>IF(AJ32="YES",HLOOKUP(E32,'2. AWARDS'!$F$7:$J$38,32,FALSE)/5*HLOOKUP(E32,'2. AWARDS'!$F$7:$J$37,31,FALSE)*L32/(HLOOKUP(E32,'2. AWARDS'!$F$7:$J$37,31,FALSE)*2)*M32*MAX(W32:AA32)*(1+HLOOKUP(E32,'2. AWARDS'!$F$7:$J$43,37,FALSE))*(1-AM32),0)</f>
        <v>0</v>
      </c>
      <c r="AP32" s="836">
        <f>IF(AK32="YES",HLOOKUP(E32,'2. AWARDS'!$F$7:$J$39,33,FALSE)/5*HLOOKUP(E32,'2. AWARDS'!$F$7:$J$37,31,FALSE)*L32/(HLOOKUP(E32,'2. AWARDS'!$F$7:$J$37,31,FALSE)*2)*M32*MAX(W32:AA32)*(1+HLOOKUP(E32,'2. AWARDS'!$F$7:$J$43,37,FALSE))*(1-AM32),0)</f>
        <v>0</v>
      </c>
      <c r="AQ32" s="838">
        <f>IF(AL32="YES",HLOOKUP(E32,'2. AWARDS'!$F$7:$J$47,40,FALSE)/5*HLOOKUP(E32,'2. AWARDS'!$F$7:$J$37,31,FALSE)*L32/(HLOOKUP(E32,'2. AWARDS'!$F$7:$J$37,31,FALSE)*2)*M32*MAX(W32:AA32)*(1+HLOOKUP(E32,'2. AWARDS'!$F$7:$J$43,37,FALSE))*(1-AM32),0)</f>
        <v>0</v>
      </c>
      <c r="AR32" s="839">
        <f>(IF(AJ32="YES",HLOOKUP(E32,'2. AWARDS'!$F$7:$J$39,32,FALSE),0)+IF(AK32="YES",HLOOKUP(E32,'2. AWARDS'!$F$7:$J$39,33,FALSE),0)+IF(AL32="YES",HLOOKUP(E32,'2. AWARDS'!$F$7:$J$47,40,FALSE),0))*L32/76*7.6*AM32*AN32*M32</f>
        <v>0</v>
      </c>
      <c r="AS32" s="683"/>
      <c r="AT32" s="215">
        <f>'1. KEY DATA'!J$29</f>
        <v>0</v>
      </c>
      <c r="AU32" s="218">
        <f>'1. KEY DATA'!J$30</f>
        <v>0.09</v>
      </c>
      <c r="AV32" s="502"/>
      <c r="AW32" s="1104">
        <f t="shared" si="3"/>
        <v>0</v>
      </c>
      <c r="AX32" s="176"/>
      <c r="AY32" s="173"/>
      <c r="AZ32" s="452">
        <f t="shared" si="4"/>
        <v>0</v>
      </c>
      <c r="BA32" s="405" t="str">
        <f t="shared" si="10"/>
        <v>-</v>
      </c>
      <c r="BB32" s="406" t="str">
        <f t="shared" si="10"/>
        <v>-</v>
      </c>
      <c r="BC32" s="406" t="str">
        <f t="shared" si="10"/>
        <v>-</v>
      </c>
      <c r="BD32" s="406" t="str">
        <f t="shared" si="10"/>
        <v>-</v>
      </c>
      <c r="BE32" s="406" t="str">
        <f t="shared" si="10"/>
        <v>-</v>
      </c>
      <c r="BF32" s="406" t="str">
        <f t="shared" si="10"/>
        <v>-</v>
      </c>
      <c r="BG32" s="406" t="str">
        <f t="shared" si="10"/>
        <v>-</v>
      </c>
      <c r="BH32" s="406" t="str">
        <f t="shared" si="10"/>
        <v>-</v>
      </c>
      <c r="BI32" s="406" t="str">
        <f t="shared" si="10"/>
        <v>-</v>
      </c>
      <c r="BJ32" s="406" t="str">
        <f t="shared" si="10"/>
        <v>-</v>
      </c>
      <c r="BK32" s="406" t="str">
        <f t="shared" si="10"/>
        <v>-</v>
      </c>
      <c r="BL32" s="406" t="str">
        <f t="shared" si="10"/>
        <v>-</v>
      </c>
      <c r="BM32" s="406" t="str">
        <f t="shared" si="10"/>
        <v>-</v>
      </c>
      <c r="BN32" s="406" t="str">
        <f t="shared" si="10"/>
        <v>-</v>
      </c>
      <c r="BO32" s="407" t="str">
        <f t="shared" si="10"/>
        <v>-</v>
      </c>
      <c r="BP32" s="1539"/>
    </row>
    <row r="33" spans="1:69" s="9" customFormat="1">
      <c r="B33" s="505"/>
      <c r="C33" s="80"/>
      <c r="D33" s="699">
        <f t="shared" si="1"/>
        <v>0</v>
      </c>
      <c r="E33" s="626"/>
      <c r="F33" s="652"/>
      <c r="G33" s="702"/>
      <c r="H33" s="693"/>
      <c r="I33" s="694"/>
      <c r="J33" s="1113"/>
      <c r="K33" s="1114"/>
      <c r="L33" s="763"/>
      <c r="M33" s="689"/>
      <c r="N33" s="629"/>
      <c r="O33" s="629"/>
      <c r="P33" s="638">
        <f t="shared" si="6"/>
        <v>0.03</v>
      </c>
      <c r="Q33" s="629"/>
      <c r="R33" s="673" t="str">
        <f t="shared" si="7"/>
        <v>-</v>
      </c>
      <c r="S33" s="649"/>
      <c r="T33" s="647"/>
      <c r="U33" s="827"/>
      <c r="V33" s="670"/>
      <c r="W33" s="798">
        <f t="shared" si="8"/>
        <v>0</v>
      </c>
      <c r="X33" s="656">
        <f>IF(OR(E33=0,F33=0),0,IF(E33='2. AWARDS'!F$7,VLOOKUP(F33,'2. AWARDS'!$C$9:$F$35,4,FALSE),IF(E33='2. AWARDS'!G$7,VLOOKUP(F33,'2. AWARDS'!$C$9:$G$35,5,FALSE),IF(E33='2. AWARDS'!H$7,VLOOKUP(F33,'2. AWARDS'!$C$9:$H$35,6,FALSE),IF(E33='2. AWARDS'!I$7,VLOOKUP(F33,'2. AWARDS'!$C$9:$I$35,7,FALSE),VLOOKUP(F33,'2. AWARDS'!$C$9:$J$35,8,FALSE))))))</f>
        <v>0</v>
      </c>
      <c r="Y33" s="657">
        <f>IF(OR(E33=0,F33=0),0,IF(AND(N33=0,E33='2. AWARDS'!F$7,VLOOKUP(F33,'2. AWARDS'!$C$9:$O$35,9,FALSE)&lt;&gt;0),"date missing",IF(AND(N33=0,E33='2. AWARDS'!G$7,VLOOKUP(F33,'2. AWARDS'!$C$9:$O$35,10,FALSE)&lt;&gt;0),"date missing",IF(AND(N33=0,E33='2. AWARDS'!H$7,VLOOKUP(F33,'2. AWARDS'!$C$9:$O$35,11,FALSE)&lt;&gt;0),"date missing",IF(AND(N33=0,E33='2. AWARDS'!I$7,VLOOKUP(F33,'2. AWARDS'!$C$9:$O$35,12,FALSE)&lt;&gt;0),"date missing",IF(AND(N33=0,E33='2. AWARDS'!J$7,VLOOKUP(F33,'2. AWARDS'!$C$9:$O$35,13,FALSE)&lt;&gt;0),"date missing",IF(N33=0,0,IF(OR(N33=MIN(O33,Q33),AND(N33&lt;O33,N33&lt;Q33,N33&gt;0)),IF(E33='2. AWARDS'!F$7,VLOOKUP(F33,'2. AWARDS'!$C$9:$O$35,9,FALSE),IF(E33='2. AWARDS'!G$7,VLOOKUP(F33,'2. AWARDS'!$C$9:$O$35,10,FALSE),IF(E33='2. AWARDS'!H$7,VLOOKUP(F33,'2. AWARDS'!$C$9:$O$35,11,FALSE),IF(E33='2. AWARDS'!I$7,VLOOKUP(F33,'2. AWARDS'!$C$9:$O$35,12,FALSE),IF(E33='2. AWARDS'!J$7,VLOOKUP(F33,'2. AWARDS'!$C$9:$O$35,13,FALSE)))))),IF(AND(N33&gt;O33,N33&lt;Q33),IF(E33='2. AWARDS'!F$7,(1+P33)*VLOOKUP(F33,'2. AWARDS'!$C$9:$O$35,9,FALSE),IF(E33='2. AWARDS'!G$7,(1+P33)*VLOOKUP(F33,'2. AWARDS'!$C$9:$O$35,10,FALSE),IF(E33='2. AWARDS'!H$7,(1+P33)*VLOOKUP(F33,'2. AWARDS'!$C$9:$O$35,11,FALSE),IF(E33='2. AWARDS'!I$7,(1+P33)*VLOOKUP(F33,'2. AWARDS'!$C$9:$O$35,12,FALSE),IF(E33='2. AWARDS'!J$7,(1+P33)*VLOOKUP(F33,'2. AWARDS'!$C$9:$O$35,13,FALSE)))))),IF(AND(N33&lt;O33,N33&gt;Q33),IF(E33='2. AWARDS'!F$7,(1+(R33/9))*VLOOKUP(F33,'2. AWARDS'!$C$9:$O$35,9,FALSE),IF(E33='2. AWARDS'!G$7,(1+(R33/9))*VLOOKUP(F33,'2. AWARDS'!$C$9:$O$35,10,FALSE),IF(E33='2. AWARDS'!H$7,(1+(R33/9))*VLOOKUP(F33,'2. AWARDS'!$C$9:$O$35,11,FALSE),IF(E33='2. AWARDS'!I$7,(1+(R33/9))*VLOOKUP(F33,'2. AWARDS'!$C$9:$O$35,12,FALSE),IF(E33='2. AWARDS'!J$7,(1+(R33/9))*VLOOKUP(F33,'2. AWARDS'!$C$9:$O$35,13,FALSE)))))),IF(OR(N33=MAX(O33,Q33),AND(N33&gt;O33,N33&gt;Q33)),IF(E33='2. AWARDS'!F$7,((1+(R33/9))*(1+P33))*VLOOKUP(F33,'2. AWARDS'!$C$9:$O$35,9,FALSE),IF(E33='2. AWARDS'!G$7,((1+(R33/9))*(1+P33))*VLOOKUP(F33,'2. AWARDS'!$C$9:$O$35,10,FALSE),IF(E33='2. AWARDS'!H$7,((1+(R33/9))*(1+P33))*VLOOKUP(F33,'2. AWARDS'!$C$9:$O$35,11,FALSE),IF(E33='2. AWARDS'!I$7,((1+(R33/9))*(1+P33))*VLOOKUP(F33,'2. AWARDS'!$C$9:$O$35,12,FALSE),IF(E33='2. AWARDS'!J$7,((1+(R33/9))*(1+P33))*VLOOKUP(F33,'2. AWARDS'!$C$9:$O$35,13,FALSE)))))),"?")))))))))))</f>
        <v>0</v>
      </c>
      <c r="Z33" s="656" t="e">
        <f>IF(AND(E33='2. AWARDS'!F$7,O33&gt;N33,O33&gt;Q33,VLOOKUP(F33,'2. AWARDS'!$C$9:$O$35,9,FALSE)&lt;&gt;0),VLOOKUP(F33,'2. AWARDS'!$C$9:$O$35,9,FALSE)*(1+P33)*(1+(R33/9)),IF(AND(E33='2. AWARDS'!F$7,O33&gt;N33,O33&gt;Q33,VLOOKUP(F33,'2. AWARDS'!$C$9:$O$35,9,FALSE)=0),X33*(1+P33)*(1+(R33/9)),IF(AND(E33='2. AWARDS'!G$7,O33&gt;N33,O33&gt;Q33,VLOOKUP(F33,'2. AWARDS'!$C$9:$O$35,10,FALSE)&lt;&gt;0),VLOOKUP(F33,'2. AWARDS'!$C$9:$O$35,10,FALSE)*(1+P33)*(1+(R33/9)),IF(AND(E33='2. AWARDS'!G$7,O33&gt;N33,O33&gt;Q33,VLOOKUP(F33,'2. AWARDS'!$C$9:$O$35,10,FALSE)=0),X33*(1+P33)*(1+(R33/9)),IF(AND(E33='2. AWARDS'!H$7,O33&gt;N33,O33&gt;Q33,VLOOKUP(F33,'2. AWARDS'!$C$9:$O$35,11,FALSE)&lt;&gt;0),VLOOKUP(F33,'2. AWARDS'!$C$9:$O$35,11,FALSE)*(1+P33)*(1+(R33/9)),IF(AND(E33='2. AWARDS'!H$7,O33&gt;N33,O33&gt;Q33,VLOOKUP(F33,'2. AWARDS'!$C$9:$O$35,11,FALSE)=0),X33*(1+P33)*(1+(R33/9)),IF(AND(E33='2. AWARDS'!I$7,O33&gt;N33,O33&gt;Q33,VLOOKUP(F33,'2. AWARDS'!$C$9:$O$35,12,FALSE)&lt;&gt;0),VLOOKUP(F33,'2. AWARDS'!$C$9:$O$35,12,FALSE)*(1+P33)*(1+(R33/9)),IF(AND(E33='2. AWARDS'!I$7,O33&gt;N33,O33&gt;Q33,VLOOKUP(F33,'2. AWARDS'!$C$9:$O$35,12,FALSE)=0),X33*(1+P33)*(1+(R33/9)),IF(AND(E33='2. AWARDS'!J$7,O33&gt;N33,O33&gt;Q33,VLOOKUP(F33,'2. AWARDS'!$C$9:$O$35,13,FALSE)&lt;&gt;0),VLOOKUP(F33,'2. AWARDS'!$C$9:$O$35,13,FALSE)*(1+P33)*(1+(R33/9)),IF(AND(E33='2. AWARDS'!J$7,O33&gt;N33,O33&gt;Q33,VLOOKUP(F33,'2. AWARDS'!$C$9:$O$35,13,FALSE)=0),X33*(1+P33)*(1+(R33/9)),IF(AND(O33&lt;N33,O33&gt;Q33),X33*(1+P33)*(1+(R33/9)),IF(AND(E33='2. AWARDS'!F$7,O33=MAX(N33,Q33),VLOOKUP(F33,'2. AWARDS'!$C$9:$O$35,9,FALSE)&lt;&gt;0),VLOOKUP(F33,'2. AWARDS'!$C$9:$O$35,9,FALSE)*(1+P33)*(1+(R33/9)),IF(AND(E33='2. AWARDS'!F$7,O33=MAX(N33,Q33),VLOOKUP(F33,'2. AWARDS'!$C$9:$O$35,9,FALSE)=0),X33*(1+P33)*(1+(R33/9)),IF(AND(E33='2. AWARDS'!G$7,O33=MAX(N33,Q33),VLOOKUP(F33,'2. AWARDS'!$C$9:$O$35,10,FALSE)&lt;&gt;0),VLOOKUP(F33,'2. AWARDS'!$C$9:$O$35,10,FALSE)*(1+P33)*(1+(R33/9)),IF(AND(E33='2. AWARDS'!G$7,O33=MAX(N33,Q33),VLOOKUP(F33,'2. AWARDS'!$C$9:$O$35,10,FALSE)=0),X33*(1+P33)*(1+(R33/9)),IF(AND(E33='2. AWARDS'!H$7,O33=MAX(N33,Q33),VLOOKUP(F33,'2. AWARDS'!$C$9:$O$35,11,FALSE)&lt;&gt;0),VLOOKUP(F33,'2. AWARDS'!$C$9:$O$35,11,FALSE)*(1+P33)*(1+(R33/9)),IF(AND(E33='2. AWARDS'!H$7,O33=MAX(N33,Q33),VLOOKUP(F33,'2. AWARDS'!$C$9:$O$35,11,FALSE)=0),X33*(1+P33)*(1+(R33/9)),IF(AND(E33='2. AWARDS'!I$7,O33=MAX(N33,Q33),VLOOKUP(F33,'2. AWARDS'!$C$9:$O$35,12,FALSE)&lt;&gt;0),VLOOKUP(F33,'2. AWARDS'!$C$9:$O$35,12,FALSE)*(1+P33)*(1+(R33/9)),IF(AND(E33='2. AWARDS'!I$7,O33=MAX(N33,Q33),VLOOKUP(F33,'2. AWARDS'!$C$9:$O$35,12,FALSE)=0),X33*(1+P33)*(1+(R33/9)),IF(AND(E33='2. AWARDS'!J$7,O33=MAX(N33,Q33),VLOOKUP(F33,'2. AWARDS'!$C$9:$O$35,13,FALSE)&lt;&gt;0),VLOOKUP(F33,'2. AWARDS'!$C$9:$O$35,13,FALSE)*(1+P33)*(1+(R33/9)),IF(AND(E33='2. AWARDS'!J$7,O33=MAX(N33,Q33),VLOOKUP(F33,'2. AWARDS'!$C$9:$O$35,13,FALSE)=0),X33*(1+P33)*(1+(R33/9)),IF(AND(O33&lt;N33,O33&lt;Q33),X33*(1+P33),IF(AND(O33=N33,N33&lt;Q33,E33='2. AWARDS'!F$7),VLOOKUP(F33,'2. AWARDS'!$C$9:$O$35,9,FALSE)*(1+P33),IF(AND(O33=N33,N33&lt;Q33,E33='2. AWARDS'!G$7),VLOOKUP(F33,'2. AWARDS'!$C$9:$O$35,10,FALSE)*(1+P33),IF(AND(O33=N33,N33&lt;Q33,E33='2. AWARDS'!H$7),VLOOKUP(F33,'2. AWARDS'!$C$9:$O$35,11,FALSE)*(1+P33),IF(AND(O33=N33,N33&lt;Q33,E33='2. AWARDS'!I$7),VLOOKUP(F33,'2. AWARDS'!$C$9:$O$35,12,FALSE)*(1+P33),IF(AND(O33=N33,N33&lt;Q33,E33='2. AWARDS'!J$7),VLOOKUP(F33,'2. AWARDS'!$C$9:$O$35,13,FALSE)*(1+P33),IF(AND(O33=Q33,N33&gt;Q33),X33*(1+P33)*(1+(R33/9)),IF(AND(E33='2. AWARDS'!F$7,O33&gt;N33,O33&lt;Q33,VLOOKUP(F33,'2. AWARDS'!$C$9:$O$35,9,FALSE)&lt;&gt;0),VLOOKUP(F33,'2. AWARDS'!$C$9:$O$35,9,FALSE)*(1+P33),IF(AND(E33='2. AWARDS'!G$7,O33&gt;N33,O33&lt;Q33,VLOOKUP(F33,'2. AWARDS'!$C$9:$O$35,10,FALSE)&lt;&gt;0),VLOOKUP(F33,'2. AWARDS'!$C$9:$O$35,10,FALSE)*(1+P33),IF(AND(E33='2. AWARDS'!H$7,O33&gt;N33,O33&lt;Q33,VLOOKUP(F33,'2. AWARDS'!$C$9:$O$35,11,FALSE)&lt;&gt;0),VLOOKUP(F33,'2. AWARDS'!$C$9:$O$35,11,FALSE)*(1+P33),IF(AND(E33='2. AWARDS'!I$7,O33&gt;N33,O33&lt;Q33,VLOOKUP(F33,'2. AWARDS'!$C$9:$O$35,12,FALSE)&lt;&gt;0),VLOOKUP(F33,'2. AWARDS'!$C$9:$O$35,12,FALSE)*(1+P33),IF(AND(E33='2. AWARDS'!J$7,O33&gt;N33,O33&lt;Q33,VLOOKUP(F33,'2. AWARDS'!$C$9:$O$35,13,FALSE)&lt;&gt;0),VLOOKUP(F33,'2. AWARDS'!$C$9:$O$35,13,FALSE)*(1+P33),X33*(1+P33))))))))))))))))))))))))))))))))))</f>
        <v>#N/A</v>
      </c>
      <c r="AA33" s="661" t="e">
        <f t="shared" si="2"/>
        <v>#N/A</v>
      </c>
      <c r="AB33" s="683"/>
      <c r="AC33" s="774"/>
      <c r="AD33" s="774"/>
      <c r="AE33" s="774"/>
      <c r="AF33" s="781">
        <f t="shared" si="9"/>
        <v>0</v>
      </c>
      <c r="AG33" s="781" t="e">
        <f>HLOOKUP(E33,'2. AWARDS'!$F$7:$J$40,32,FALSE)/5*HLOOKUP(E33,'2. AWARDS'!$F$7:$J$40,31,FALSE)*MAX(W33:AA33)*M33*HLOOKUP(E33,'2. AWARDS'!$F$7:$J$40,34,FALSE)*L33/(38*2)</f>
        <v>#N/A</v>
      </c>
      <c r="AH33" s="783" t="e">
        <f>((HLOOKUP(E33,'2. AWARDS'!$F$7:$J$42,36,FALSE)/HLOOKUP(E33,'2. AWARDS'!$F$7:$J$42,35,FALSE)*HLOOKUP(E33,'2. AWARDS'!$F$7:$J$45,39,FALSE))/(HLOOKUP(E33,'2. AWARDS'!$F$7:$J$45,31,FALSE)*2)*L33*M33*HLOOKUP(E33,'2. AWARDS'!$F$7:$J$45,31,FALSE)*MAX(W33:AA33))</f>
        <v>#N/A</v>
      </c>
      <c r="AI33" s="474"/>
      <c r="AJ33" s="804"/>
      <c r="AK33" s="801"/>
      <c r="AL33" s="801"/>
      <c r="AM33" s="802"/>
      <c r="AN33" s="805"/>
      <c r="AO33" s="836">
        <f>IF(AJ33="YES",HLOOKUP(E33,'2. AWARDS'!$F$7:$J$38,32,FALSE)/5*HLOOKUP(E33,'2. AWARDS'!$F$7:$J$37,31,FALSE)*L33/(HLOOKUP(E33,'2. AWARDS'!$F$7:$J$37,31,FALSE)*2)*M33*MAX(W33:AA33)*(1+HLOOKUP(E33,'2. AWARDS'!$F$7:$J$43,37,FALSE))*(1-AM33),0)</f>
        <v>0</v>
      </c>
      <c r="AP33" s="836">
        <f>IF(AK33="YES",HLOOKUP(E33,'2. AWARDS'!$F$7:$J$39,33,FALSE)/5*HLOOKUP(E33,'2. AWARDS'!$F$7:$J$37,31,FALSE)*L33/(HLOOKUP(E33,'2. AWARDS'!$F$7:$J$37,31,FALSE)*2)*M33*MAX(W33:AA33)*(1+HLOOKUP(E33,'2. AWARDS'!$F$7:$J$43,37,FALSE))*(1-AM33),0)</f>
        <v>0</v>
      </c>
      <c r="AQ33" s="838">
        <f>IF(AL33="YES",HLOOKUP(E33,'2. AWARDS'!$F$7:$J$47,40,FALSE)/5*HLOOKUP(E33,'2. AWARDS'!$F$7:$J$37,31,FALSE)*L33/(HLOOKUP(E33,'2. AWARDS'!$F$7:$J$37,31,FALSE)*2)*M33*MAX(W33:AA33)*(1+HLOOKUP(E33,'2. AWARDS'!$F$7:$J$43,37,FALSE))*(1-AM33),0)</f>
        <v>0</v>
      </c>
      <c r="AR33" s="839">
        <f>(IF(AJ33="YES",HLOOKUP(E33,'2. AWARDS'!$F$7:$J$39,32,FALSE),0)+IF(AK33="YES",HLOOKUP(E33,'2. AWARDS'!$F$7:$J$39,33,FALSE),0)+IF(AL33="YES",HLOOKUP(E33,'2. AWARDS'!$F$7:$J$47,40,FALSE),0))*L33/76*7.6*AM33*AN33*M33</f>
        <v>0</v>
      </c>
      <c r="AS33" s="683"/>
      <c r="AT33" s="215">
        <f>'1. KEY DATA'!J$29</f>
        <v>0</v>
      </c>
      <c r="AU33" s="218">
        <f>'1. KEY DATA'!J$30</f>
        <v>0.09</v>
      </c>
      <c r="AV33" s="502"/>
      <c r="AW33" s="1104">
        <f t="shared" si="3"/>
        <v>0</v>
      </c>
      <c r="AX33" s="176"/>
      <c r="AY33" s="173"/>
      <c r="AZ33" s="452">
        <f t="shared" si="4"/>
        <v>0</v>
      </c>
      <c r="BA33" s="405" t="str">
        <f t="shared" ref="BA33:BO43" si="11">IF($AY33=BA$8,$AW33, "-")</f>
        <v>-</v>
      </c>
      <c r="BB33" s="406" t="str">
        <f t="shared" si="11"/>
        <v>-</v>
      </c>
      <c r="BC33" s="406" t="str">
        <f t="shared" si="11"/>
        <v>-</v>
      </c>
      <c r="BD33" s="406" t="str">
        <f t="shared" si="11"/>
        <v>-</v>
      </c>
      <c r="BE33" s="406" t="str">
        <f t="shared" si="11"/>
        <v>-</v>
      </c>
      <c r="BF33" s="406" t="str">
        <f t="shared" si="11"/>
        <v>-</v>
      </c>
      <c r="BG33" s="406" t="str">
        <f t="shared" si="11"/>
        <v>-</v>
      </c>
      <c r="BH33" s="406" t="str">
        <f t="shared" si="11"/>
        <v>-</v>
      </c>
      <c r="BI33" s="406" t="str">
        <f t="shared" si="11"/>
        <v>-</v>
      </c>
      <c r="BJ33" s="406" t="str">
        <f t="shared" si="11"/>
        <v>-</v>
      </c>
      <c r="BK33" s="406" t="str">
        <f t="shared" si="11"/>
        <v>-</v>
      </c>
      <c r="BL33" s="406" t="str">
        <f t="shared" si="11"/>
        <v>-</v>
      </c>
      <c r="BM33" s="406" t="str">
        <f t="shared" si="11"/>
        <v>-</v>
      </c>
      <c r="BN33" s="406" t="str">
        <f t="shared" si="11"/>
        <v>-</v>
      </c>
      <c r="BO33" s="407" t="str">
        <f t="shared" si="11"/>
        <v>-</v>
      </c>
      <c r="BP33" s="1539"/>
    </row>
    <row r="34" spans="1:69" s="9" customFormat="1">
      <c r="B34" s="505"/>
      <c r="C34" s="80"/>
      <c r="D34" s="699">
        <f t="shared" si="1"/>
        <v>0</v>
      </c>
      <c r="E34" s="626"/>
      <c r="F34" s="652"/>
      <c r="G34" s="702"/>
      <c r="H34" s="693"/>
      <c r="I34" s="694"/>
      <c r="J34" s="1113"/>
      <c r="K34" s="1114"/>
      <c r="L34" s="763"/>
      <c r="M34" s="689"/>
      <c r="N34" s="629"/>
      <c r="O34" s="629"/>
      <c r="P34" s="638">
        <f t="shared" si="6"/>
        <v>0.03</v>
      </c>
      <c r="Q34" s="629"/>
      <c r="R34" s="673" t="str">
        <f t="shared" si="7"/>
        <v>-</v>
      </c>
      <c r="S34" s="649"/>
      <c r="T34" s="647"/>
      <c r="U34" s="827"/>
      <c r="V34" s="670"/>
      <c r="W34" s="798">
        <f t="shared" si="8"/>
        <v>0</v>
      </c>
      <c r="X34" s="656">
        <f>IF(OR(E34=0,F34=0),0,IF(E34='2. AWARDS'!F$7,VLOOKUP(F34,'2. AWARDS'!$C$9:$F$35,4,FALSE),IF(E34='2. AWARDS'!G$7,VLOOKUP(F34,'2. AWARDS'!$C$9:$G$35,5,FALSE),IF(E34='2. AWARDS'!H$7,VLOOKUP(F34,'2. AWARDS'!$C$9:$H$35,6,FALSE),IF(E34='2. AWARDS'!I$7,VLOOKUP(F34,'2. AWARDS'!$C$9:$I$35,7,FALSE),VLOOKUP(F34,'2. AWARDS'!$C$9:$J$35,8,FALSE))))))</f>
        <v>0</v>
      </c>
      <c r="Y34" s="657">
        <f>IF(OR(E34=0,F34=0),0,IF(AND(N34=0,E34='2. AWARDS'!F$7,VLOOKUP(F34,'2. AWARDS'!$C$9:$O$35,9,FALSE)&lt;&gt;0),"date missing",IF(AND(N34=0,E34='2. AWARDS'!G$7,VLOOKUP(F34,'2. AWARDS'!$C$9:$O$35,10,FALSE)&lt;&gt;0),"date missing",IF(AND(N34=0,E34='2. AWARDS'!H$7,VLOOKUP(F34,'2. AWARDS'!$C$9:$O$35,11,FALSE)&lt;&gt;0),"date missing",IF(AND(N34=0,E34='2. AWARDS'!I$7,VLOOKUP(F34,'2. AWARDS'!$C$9:$O$35,12,FALSE)&lt;&gt;0),"date missing",IF(AND(N34=0,E34='2. AWARDS'!J$7,VLOOKUP(F34,'2. AWARDS'!$C$9:$O$35,13,FALSE)&lt;&gt;0),"date missing",IF(N34=0,0,IF(OR(N34=MIN(O34,Q34),AND(N34&lt;O34,N34&lt;Q34,N34&gt;0)),IF(E34='2. AWARDS'!F$7,VLOOKUP(F34,'2. AWARDS'!$C$9:$O$35,9,FALSE),IF(E34='2. AWARDS'!G$7,VLOOKUP(F34,'2. AWARDS'!$C$9:$O$35,10,FALSE),IF(E34='2. AWARDS'!H$7,VLOOKUP(F34,'2. AWARDS'!$C$9:$O$35,11,FALSE),IF(E34='2. AWARDS'!I$7,VLOOKUP(F34,'2. AWARDS'!$C$9:$O$35,12,FALSE),IF(E34='2. AWARDS'!J$7,VLOOKUP(F34,'2. AWARDS'!$C$9:$O$35,13,FALSE)))))),IF(AND(N34&gt;O34,N34&lt;Q34),IF(E34='2. AWARDS'!F$7,(1+P34)*VLOOKUP(F34,'2. AWARDS'!$C$9:$O$35,9,FALSE),IF(E34='2. AWARDS'!G$7,(1+P34)*VLOOKUP(F34,'2. AWARDS'!$C$9:$O$35,10,FALSE),IF(E34='2. AWARDS'!H$7,(1+P34)*VLOOKUP(F34,'2. AWARDS'!$C$9:$O$35,11,FALSE),IF(E34='2. AWARDS'!I$7,(1+P34)*VLOOKUP(F34,'2. AWARDS'!$C$9:$O$35,12,FALSE),IF(E34='2. AWARDS'!J$7,(1+P34)*VLOOKUP(F34,'2. AWARDS'!$C$9:$O$35,13,FALSE)))))),IF(AND(N34&lt;O34,N34&gt;Q34),IF(E34='2. AWARDS'!F$7,(1+(R34/9))*VLOOKUP(F34,'2. AWARDS'!$C$9:$O$35,9,FALSE),IF(E34='2. AWARDS'!G$7,(1+(R34/9))*VLOOKUP(F34,'2. AWARDS'!$C$9:$O$35,10,FALSE),IF(E34='2. AWARDS'!H$7,(1+(R34/9))*VLOOKUP(F34,'2. AWARDS'!$C$9:$O$35,11,FALSE),IF(E34='2. AWARDS'!I$7,(1+(R34/9))*VLOOKUP(F34,'2. AWARDS'!$C$9:$O$35,12,FALSE),IF(E34='2. AWARDS'!J$7,(1+(R34/9))*VLOOKUP(F34,'2. AWARDS'!$C$9:$O$35,13,FALSE)))))),IF(OR(N34=MAX(O34,Q34),AND(N34&gt;O34,N34&gt;Q34)),IF(E34='2. AWARDS'!F$7,((1+(R34/9))*(1+P34))*VLOOKUP(F34,'2. AWARDS'!$C$9:$O$35,9,FALSE),IF(E34='2. AWARDS'!G$7,((1+(R34/9))*(1+P34))*VLOOKUP(F34,'2. AWARDS'!$C$9:$O$35,10,FALSE),IF(E34='2. AWARDS'!H$7,((1+(R34/9))*(1+P34))*VLOOKUP(F34,'2. AWARDS'!$C$9:$O$35,11,FALSE),IF(E34='2. AWARDS'!I$7,((1+(R34/9))*(1+P34))*VLOOKUP(F34,'2. AWARDS'!$C$9:$O$35,12,FALSE),IF(E34='2. AWARDS'!J$7,((1+(R34/9))*(1+P34))*VLOOKUP(F34,'2. AWARDS'!$C$9:$O$35,13,FALSE)))))),"?")))))))))))</f>
        <v>0</v>
      </c>
      <c r="Z34" s="656" t="e">
        <f>IF(AND(E34='2. AWARDS'!F$7,O34&gt;N34,O34&gt;Q34,VLOOKUP(F34,'2. AWARDS'!$C$9:$O$35,9,FALSE)&lt;&gt;0),VLOOKUP(F34,'2. AWARDS'!$C$9:$O$35,9,FALSE)*(1+P34)*(1+(R34/9)),IF(AND(E34='2. AWARDS'!F$7,O34&gt;N34,O34&gt;Q34,VLOOKUP(F34,'2. AWARDS'!$C$9:$O$35,9,FALSE)=0),X34*(1+P34)*(1+(R34/9)),IF(AND(E34='2. AWARDS'!G$7,O34&gt;N34,O34&gt;Q34,VLOOKUP(F34,'2. AWARDS'!$C$9:$O$35,10,FALSE)&lt;&gt;0),VLOOKUP(F34,'2. AWARDS'!$C$9:$O$35,10,FALSE)*(1+P34)*(1+(R34/9)),IF(AND(E34='2. AWARDS'!G$7,O34&gt;N34,O34&gt;Q34,VLOOKUP(F34,'2. AWARDS'!$C$9:$O$35,10,FALSE)=0),X34*(1+P34)*(1+(R34/9)),IF(AND(E34='2. AWARDS'!H$7,O34&gt;N34,O34&gt;Q34,VLOOKUP(F34,'2. AWARDS'!$C$9:$O$35,11,FALSE)&lt;&gt;0),VLOOKUP(F34,'2. AWARDS'!$C$9:$O$35,11,FALSE)*(1+P34)*(1+(R34/9)),IF(AND(E34='2. AWARDS'!H$7,O34&gt;N34,O34&gt;Q34,VLOOKUP(F34,'2. AWARDS'!$C$9:$O$35,11,FALSE)=0),X34*(1+P34)*(1+(R34/9)),IF(AND(E34='2. AWARDS'!I$7,O34&gt;N34,O34&gt;Q34,VLOOKUP(F34,'2. AWARDS'!$C$9:$O$35,12,FALSE)&lt;&gt;0),VLOOKUP(F34,'2. AWARDS'!$C$9:$O$35,12,FALSE)*(1+P34)*(1+(R34/9)),IF(AND(E34='2. AWARDS'!I$7,O34&gt;N34,O34&gt;Q34,VLOOKUP(F34,'2. AWARDS'!$C$9:$O$35,12,FALSE)=0),X34*(1+P34)*(1+(R34/9)),IF(AND(E34='2. AWARDS'!J$7,O34&gt;N34,O34&gt;Q34,VLOOKUP(F34,'2. AWARDS'!$C$9:$O$35,13,FALSE)&lt;&gt;0),VLOOKUP(F34,'2. AWARDS'!$C$9:$O$35,13,FALSE)*(1+P34)*(1+(R34/9)),IF(AND(E34='2. AWARDS'!J$7,O34&gt;N34,O34&gt;Q34,VLOOKUP(F34,'2. AWARDS'!$C$9:$O$35,13,FALSE)=0),X34*(1+P34)*(1+(R34/9)),IF(AND(O34&lt;N34,O34&gt;Q34),X34*(1+P34)*(1+(R34/9)),IF(AND(E34='2. AWARDS'!F$7,O34=MAX(N34,Q34),VLOOKUP(F34,'2. AWARDS'!$C$9:$O$35,9,FALSE)&lt;&gt;0),VLOOKUP(F34,'2. AWARDS'!$C$9:$O$35,9,FALSE)*(1+P34)*(1+(R34/9)),IF(AND(E34='2. AWARDS'!F$7,O34=MAX(N34,Q34),VLOOKUP(F34,'2. AWARDS'!$C$9:$O$35,9,FALSE)=0),X34*(1+P34)*(1+(R34/9)),IF(AND(E34='2. AWARDS'!G$7,O34=MAX(N34,Q34),VLOOKUP(F34,'2. AWARDS'!$C$9:$O$35,10,FALSE)&lt;&gt;0),VLOOKUP(F34,'2. AWARDS'!$C$9:$O$35,10,FALSE)*(1+P34)*(1+(R34/9)),IF(AND(E34='2. AWARDS'!G$7,O34=MAX(N34,Q34),VLOOKUP(F34,'2. AWARDS'!$C$9:$O$35,10,FALSE)=0),X34*(1+P34)*(1+(R34/9)),IF(AND(E34='2. AWARDS'!H$7,O34=MAX(N34,Q34),VLOOKUP(F34,'2. AWARDS'!$C$9:$O$35,11,FALSE)&lt;&gt;0),VLOOKUP(F34,'2. AWARDS'!$C$9:$O$35,11,FALSE)*(1+P34)*(1+(R34/9)),IF(AND(E34='2. AWARDS'!H$7,O34=MAX(N34,Q34),VLOOKUP(F34,'2. AWARDS'!$C$9:$O$35,11,FALSE)=0),X34*(1+P34)*(1+(R34/9)),IF(AND(E34='2. AWARDS'!I$7,O34=MAX(N34,Q34),VLOOKUP(F34,'2. AWARDS'!$C$9:$O$35,12,FALSE)&lt;&gt;0),VLOOKUP(F34,'2. AWARDS'!$C$9:$O$35,12,FALSE)*(1+P34)*(1+(R34/9)),IF(AND(E34='2. AWARDS'!I$7,O34=MAX(N34,Q34),VLOOKUP(F34,'2. AWARDS'!$C$9:$O$35,12,FALSE)=0),X34*(1+P34)*(1+(R34/9)),IF(AND(E34='2. AWARDS'!J$7,O34=MAX(N34,Q34),VLOOKUP(F34,'2. AWARDS'!$C$9:$O$35,13,FALSE)&lt;&gt;0),VLOOKUP(F34,'2. AWARDS'!$C$9:$O$35,13,FALSE)*(1+P34)*(1+(R34/9)),IF(AND(E34='2. AWARDS'!J$7,O34=MAX(N34,Q34),VLOOKUP(F34,'2. AWARDS'!$C$9:$O$35,13,FALSE)=0),X34*(1+P34)*(1+(R34/9)),IF(AND(O34&lt;N34,O34&lt;Q34),X34*(1+P34),IF(AND(O34=N34,N34&lt;Q34,E34='2. AWARDS'!F$7),VLOOKUP(F34,'2. AWARDS'!$C$9:$O$35,9,FALSE)*(1+P34),IF(AND(O34=N34,N34&lt;Q34,E34='2. AWARDS'!G$7),VLOOKUP(F34,'2. AWARDS'!$C$9:$O$35,10,FALSE)*(1+P34),IF(AND(O34=N34,N34&lt;Q34,E34='2. AWARDS'!H$7),VLOOKUP(F34,'2. AWARDS'!$C$9:$O$35,11,FALSE)*(1+P34),IF(AND(O34=N34,N34&lt;Q34,E34='2. AWARDS'!I$7),VLOOKUP(F34,'2. AWARDS'!$C$9:$O$35,12,FALSE)*(1+P34),IF(AND(O34=N34,N34&lt;Q34,E34='2. AWARDS'!J$7),VLOOKUP(F34,'2. AWARDS'!$C$9:$O$35,13,FALSE)*(1+P34),IF(AND(O34=Q34,N34&gt;Q34),X34*(1+P34)*(1+(R34/9)),IF(AND(E34='2. AWARDS'!F$7,O34&gt;N34,O34&lt;Q34,VLOOKUP(F34,'2. AWARDS'!$C$9:$O$35,9,FALSE)&lt;&gt;0),VLOOKUP(F34,'2. AWARDS'!$C$9:$O$35,9,FALSE)*(1+P34),IF(AND(E34='2. AWARDS'!G$7,O34&gt;N34,O34&lt;Q34,VLOOKUP(F34,'2. AWARDS'!$C$9:$O$35,10,FALSE)&lt;&gt;0),VLOOKUP(F34,'2. AWARDS'!$C$9:$O$35,10,FALSE)*(1+P34),IF(AND(E34='2. AWARDS'!H$7,O34&gt;N34,O34&lt;Q34,VLOOKUP(F34,'2. AWARDS'!$C$9:$O$35,11,FALSE)&lt;&gt;0),VLOOKUP(F34,'2. AWARDS'!$C$9:$O$35,11,FALSE)*(1+P34),IF(AND(E34='2. AWARDS'!I$7,O34&gt;N34,O34&lt;Q34,VLOOKUP(F34,'2. AWARDS'!$C$9:$O$35,12,FALSE)&lt;&gt;0),VLOOKUP(F34,'2. AWARDS'!$C$9:$O$35,12,FALSE)*(1+P34),IF(AND(E34='2. AWARDS'!J$7,O34&gt;N34,O34&lt;Q34,VLOOKUP(F34,'2. AWARDS'!$C$9:$O$35,13,FALSE)&lt;&gt;0),VLOOKUP(F34,'2. AWARDS'!$C$9:$O$35,13,FALSE)*(1+P34),X34*(1+P34))))))))))))))))))))))))))))))))))</f>
        <v>#N/A</v>
      </c>
      <c r="AA34" s="661" t="e">
        <f t="shared" si="2"/>
        <v>#N/A</v>
      </c>
      <c r="AB34" s="683"/>
      <c r="AC34" s="774"/>
      <c r="AD34" s="774"/>
      <c r="AE34" s="774"/>
      <c r="AF34" s="781">
        <f t="shared" si="9"/>
        <v>0</v>
      </c>
      <c r="AG34" s="781" t="e">
        <f>HLOOKUP(E34,'2. AWARDS'!$F$7:$J$40,32,FALSE)/5*HLOOKUP(E34,'2. AWARDS'!$F$7:$J$40,31,FALSE)*MAX(W34:AA34)*M34*HLOOKUP(E34,'2. AWARDS'!$F$7:$J$40,34,FALSE)*L34/(38*2)</f>
        <v>#N/A</v>
      </c>
      <c r="AH34" s="783" t="e">
        <f>((HLOOKUP(E34,'2. AWARDS'!$F$7:$J$42,36,FALSE)/HLOOKUP(E34,'2. AWARDS'!$F$7:$J$42,35,FALSE)*HLOOKUP(E34,'2. AWARDS'!$F$7:$J$45,39,FALSE))/(HLOOKUP(E34,'2. AWARDS'!$F$7:$J$45,31,FALSE)*2)*L34*M34*HLOOKUP(E34,'2. AWARDS'!$F$7:$J$45,31,FALSE)*MAX(W34:AA34))</f>
        <v>#N/A</v>
      </c>
      <c r="AI34" s="474"/>
      <c r="AJ34" s="804"/>
      <c r="AK34" s="801"/>
      <c r="AL34" s="801"/>
      <c r="AM34" s="802"/>
      <c r="AN34" s="805"/>
      <c r="AO34" s="836">
        <f>IF(AJ34="YES",HLOOKUP(E34,'2. AWARDS'!$F$7:$J$38,32,FALSE)/5*HLOOKUP(E34,'2. AWARDS'!$F$7:$J$37,31,FALSE)*L34/(HLOOKUP(E34,'2. AWARDS'!$F$7:$J$37,31,FALSE)*2)*M34*MAX(W34:AA34)*(1+HLOOKUP(E34,'2. AWARDS'!$F$7:$J$43,37,FALSE))*(1-AM34),0)</f>
        <v>0</v>
      </c>
      <c r="AP34" s="836">
        <f>IF(AK34="YES",HLOOKUP(E34,'2. AWARDS'!$F$7:$J$39,33,FALSE)/5*HLOOKUP(E34,'2. AWARDS'!$F$7:$J$37,31,FALSE)*L34/(HLOOKUP(E34,'2. AWARDS'!$F$7:$J$37,31,FALSE)*2)*M34*MAX(W34:AA34)*(1+HLOOKUP(E34,'2. AWARDS'!$F$7:$J$43,37,FALSE))*(1-AM34),0)</f>
        <v>0</v>
      </c>
      <c r="AQ34" s="838">
        <f>IF(AL34="YES",HLOOKUP(E34,'2. AWARDS'!$F$7:$J$47,40,FALSE)/5*HLOOKUP(E34,'2. AWARDS'!$F$7:$J$37,31,FALSE)*L34/(HLOOKUP(E34,'2. AWARDS'!$F$7:$J$37,31,FALSE)*2)*M34*MAX(W34:AA34)*(1+HLOOKUP(E34,'2. AWARDS'!$F$7:$J$43,37,FALSE))*(1-AM34),0)</f>
        <v>0</v>
      </c>
      <c r="AR34" s="839">
        <f>(IF(AJ34="YES",HLOOKUP(E34,'2. AWARDS'!$F$7:$J$39,32,FALSE),0)+IF(AK34="YES",HLOOKUP(E34,'2. AWARDS'!$F$7:$J$39,33,FALSE),0)+IF(AL34="YES",HLOOKUP(E34,'2. AWARDS'!$F$7:$J$47,40,FALSE),0))*L34/76*7.6*AM34*AN34*M34</f>
        <v>0</v>
      </c>
      <c r="AS34" s="683"/>
      <c r="AT34" s="215">
        <f>'1. KEY DATA'!J$29</f>
        <v>0</v>
      </c>
      <c r="AU34" s="218">
        <f>'1. KEY DATA'!J$30</f>
        <v>0.09</v>
      </c>
      <c r="AV34" s="502"/>
      <c r="AW34" s="1104">
        <f t="shared" si="3"/>
        <v>0</v>
      </c>
      <c r="AX34" s="176"/>
      <c r="AY34" s="173"/>
      <c r="AZ34" s="452">
        <f t="shared" si="4"/>
        <v>0</v>
      </c>
      <c r="BA34" s="405" t="str">
        <f t="shared" si="11"/>
        <v>-</v>
      </c>
      <c r="BB34" s="406" t="str">
        <f t="shared" si="11"/>
        <v>-</v>
      </c>
      <c r="BC34" s="406" t="str">
        <f t="shared" si="11"/>
        <v>-</v>
      </c>
      <c r="BD34" s="406" t="str">
        <f t="shared" si="11"/>
        <v>-</v>
      </c>
      <c r="BE34" s="406" t="str">
        <f t="shared" si="11"/>
        <v>-</v>
      </c>
      <c r="BF34" s="406" t="str">
        <f t="shared" si="11"/>
        <v>-</v>
      </c>
      <c r="BG34" s="406" t="str">
        <f t="shared" si="11"/>
        <v>-</v>
      </c>
      <c r="BH34" s="406" t="str">
        <f t="shared" si="11"/>
        <v>-</v>
      </c>
      <c r="BI34" s="406" t="str">
        <f t="shared" si="11"/>
        <v>-</v>
      </c>
      <c r="BJ34" s="406" t="str">
        <f t="shared" si="11"/>
        <v>-</v>
      </c>
      <c r="BK34" s="406" t="str">
        <f t="shared" si="11"/>
        <v>-</v>
      </c>
      <c r="BL34" s="406" t="str">
        <f t="shared" si="11"/>
        <v>-</v>
      </c>
      <c r="BM34" s="406" t="str">
        <f t="shared" si="11"/>
        <v>-</v>
      </c>
      <c r="BN34" s="406" t="str">
        <f t="shared" si="11"/>
        <v>-</v>
      </c>
      <c r="BO34" s="407" t="str">
        <f t="shared" si="11"/>
        <v>-</v>
      </c>
      <c r="BP34" s="1539"/>
    </row>
    <row r="35" spans="1:69" s="9" customFormat="1">
      <c r="B35" s="505"/>
      <c r="C35" s="80"/>
      <c r="D35" s="699">
        <f t="shared" si="1"/>
        <v>0</v>
      </c>
      <c r="E35" s="626"/>
      <c r="F35" s="652"/>
      <c r="G35" s="702"/>
      <c r="H35" s="693"/>
      <c r="I35" s="694"/>
      <c r="J35" s="1113"/>
      <c r="K35" s="1114"/>
      <c r="L35" s="763"/>
      <c r="M35" s="689"/>
      <c r="N35" s="629"/>
      <c r="O35" s="629"/>
      <c r="P35" s="638">
        <f t="shared" si="6"/>
        <v>0.03</v>
      </c>
      <c r="Q35" s="629"/>
      <c r="R35" s="673" t="str">
        <f t="shared" si="7"/>
        <v>-</v>
      </c>
      <c r="S35" s="649"/>
      <c r="T35" s="647"/>
      <c r="U35" s="827"/>
      <c r="V35" s="670"/>
      <c r="W35" s="798">
        <f t="shared" si="8"/>
        <v>0</v>
      </c>
      <c r="X35" s="656">
        <f>IF(OR(E35=0,F35=0),0,IF(E35='2. AWARDS'!F$7,VLOOKUP(F35,'2. AWARDS'!$C$9:$F$35,4,FALSE),IF(E35='2. AWARDS'!G$7,VLOOKUP(F35,'2. AWARDS'!$C$9:$G$35,5,FALSE),IF(E35='2. AWARDS'!H$7,VLOOKUP(F35,'2. AWARDS'!$C$9:$H$35,6,FALSE),IF(E35='2. AWARDS'!I$7,VLOOKUP(F35,'2. AWARDS'!$C$9:$I$35,7,FALSE),VLOOKUP(F35,'2. AWARDS'!$C$9:$J$35,8,FALSE))))))</f>
        <v>0</v>
      </c>
      <c r="Y35" s="657">
        <f>IF(OR(E35=0,F35=0),0,IF(AND(N35=0,E35='2. AWARDS'!F$7,VLOOKUP(F35,'2. AWARDS'!$C$9:$O$35,9,FALSE)&lt;&gt;0),"date missing",IF(AND(N35=0,E35='2. AWARDS'!G$7,VLOOKUP(F35,'2. AWARDS'!$C$9:$O$35,10,FALSE)&lt;&gt;0),"date missing",IF(AND(N35=0,E35='2. AWARDS'!H$7,VLOOKUP(F35,'2. AWARDS'!$C$9:$O$35,11,FALSE)&lt;&gt;0),"date missing",IF(AND(N35=0,E35='2. AWARDS'!I$7,VLOOKUP(F35,'2. AWARDS'!$C$9:$O$35,12,FALSE)&lt;&gt;0),"date missing",IF(AND(N35=0,E35='2. AWARDS'!J$7,VLOOKUP(F35,'2. AWARDS'!$C$9:$O$35,13,FALSE)&lt;&gt;0),"date missing",IF(N35=0,0,IF(OR(N35=MIN(O35,Q35),AND(N35&lt;O35,N35&lt;Q35,N35&gt;0)),IF(E35='2. AWARDS'!F$7,VLOOKUP(F35,'2. AWARDS'!$C$9:$O$35,9,FALSE),IF(E35='2. AWARDS'!G$7,VLOOKUP(F35,'2. AWARDS'!$C$9:$O$35,10,FALSE),IF(E35='2. AWARDS'!H$7,VLOOKUP(F35,'2. AWARDS'!$C$9:$O$35,11,FALSE),IF(E35='2. AWARDS'!I$7,VLOOKUP(F35,'2. AWARDS'!$C$9:$O$35,12,FALSE),IF(E35='2. AWARDS'!J$7,VLOOKUP(F35,'2. AWARDS'!$C$9:$O$35,13,FALSE)))))),IF(AND(N35&gt;O35,N35&lt;Q35),IF(E35='2. AWARDS'!F$7,(1+P35)*VLOOKUP(F35,'2. AWARDS'!$C$9:$O$35,9,FALSE),IF(E35='2. AWARDS'!G$7,(1+P35)*VLOOKUP(F35,'2. AWARDS'!$C$9:$O$35,10,FALSE),IF(E35='2. AWARDS'!H$7,(1+P35)*VLOOKUP(F35,'2. AWARDS'!$C$9:$O$35,11,FALSE),IF(E35='2. AWARDS'!I$7,(1+P35)*VLOOKUP(F35,'2. AWARDS'!$C$9:$O$35,12,FALSE),IF(E35='2. AWARDS'!J$7,(1+P35)*VLOOKUP(F35,'2. AWARDS'!$C$9:$O$35,13,FALSE)))))),IF(AND(N35&lt;O35,N35&gt;Q35),IF(E35='2. AWARDS'!F$7,(1+(R35/9))*VLOOKUP(F35,'2. AWARDS'!$C$9:$O$35,9,FALSE),IF(E35='2. AWARDS'!G$7,(1+(R35/9))*VLOOKUP(F35,'2. AWARDS'!$C$9:$O$35,10,FALSE),IF(E35='2. AWARDS'!H$7,(1+(R35/9))*VLOOKUP(F35,'2. AWARDS'!$C$9:$O$35,11,FALSE),IF(E35='2. AWARDS'!I$7,(1+(R35/9))*VLOOKUP(F35,'2. AWARDS'!$C$9:$O$35,12,FALSE),IF(E35='2. AWARDS'!J$7,(1+(R35/9))*VLOOKUP(F35,'2. AWARDS'!$C$9:$O$35,13,FALSE)))))),IF(OR(N35=MAX(O35,Q35),AND(N35&gt;O35,N35&gt;Q35)),IF(E35='2. AWARDS'!F$7,((1+(R35/9))*(1+P35))*VLOOKUP(F35,'2. AWARDS'!$C$9:$O$35,9,FALSE),IF(E35='2. AWARDS'!G$7,((1+(R35/9))*(1+P35))*VLOOKUP(F35,'2. AWARDS'!$C$9:$O$35,10,FALSE),IF(E35='2. AWARDS'!H$7,((1+(R35/9))*(1+P35))*VLOOKUP(F35,'2. AWARDS'!$C$9:$O$35,11,FALSE),IF(E35='2. AWARDS'!I$7,((1+(R35/9))*(1+P35))*VLOOKUP(F35,'2. AWARDS'!$C$9:$O$35,12,FALSE),IF(E35='2. AWARDS'!J$7,((1+(R35/9))*(1+P35))*VLOOKUP(F35,'2. AWARDS'!$C$9:$O$35,13,FALSE)))))),"?")))))))))))</f>
        <v>0</v>
      </c>
      <c r="Z35" s="656" t="e">
        <f>IF(AND(E35='2. AWARDS'!F$7,O35&gt;N35,O35&gt;Q35,VLOOKUP(F35,'2. AWARDS'!$C$9:$O$35,9,FALSE)&lt;&gt;0),VLOOKUP(F35,'2. AWARDS'!$C$9:$O$35,9,FALSE)*(1+P35)*(1+(R35/9)),IF(AND(E35='2. AWARDS'!F$7,O35&gt;N35,O35&gt;Q35,VLOOKUP(F35,'2. AWARDS'!$C$9:$O$35,9,FALSE)=0),X35*(1+P35)*(1+(R35/9)),IF(AND(E35='2. AWARDS'!G$7,O35&gt;N35,O35&gt;Q35,VLOOKUP(F35,'2. AWARDS'!$C$9:$O$35,10,FALSE)&lt;&gt;0),VLOOKUP(F35,'2. AWARDS'!$C$9:$O$35,10,FALSE)*(1+P35)*(1+(R35/9)),IF(AND(E35='2. AWARDS'!G$7,O35&gt;N35,O35&gt;Q35,VLOOKUP(F35,'2. AWARDS'!$C$9:$O$35,10,FALSE)=0),X35*(1+P35)*(1+(R35/9)),IF(AND(E35='2. AWARDS'!H$7,O35&gt;N35,O35&gt;Q35,VLOOKUP(F35,'2. AWARDS'!$C$9:$O$35,11,FALSE)&lt;&gt;0),VLOOKUP(F35,'2. AWARDS'!$C$9:$O$35,11,FALSE)*(1+P35)*(1+(R35/9)),IF(AND(E35='2. AWARDS'!H$7,O35&gt;N35,O35&gt;Q35,VLOOKUP(F35,'2. AWARDS'!$C$9:$O$35,11,FALSE)=0),X35*(1+P35)*(1+(R35/9)),IF(AND(E35='2. AWARDS'!I$7,O35&gt;N35,O35&gt;Q35,VLOOKUP(F35,'2. AWARDS'!$C$9:$O$35,12,FALSE)&lt;&gt;0),VLOOKUP(F35,'2. AWARDS'!$C$9:$O$35,12,FALSE)*(1+P35)*(1+(R35/9)),IF(AND(E35='2. AWARDS'!I$7,O35&gt;N35,O35&gt;Q35,VLOOKUP(F35,'2. AWARDS'!$C$9:$O$35,12,FALSE)=0),X35*(1+P35)*(1+(R35/9)),IF(AND(E35='2. AWARDS'!J$7,O35&gt;N35,O35&gt;Q35,VLOOKUP(F35,'2. AWARDS'!$C$9:$O$35,13,FALSE)&lt;&gt;0),VLOOKUP(F35,'2. AWARDS'!$C$9:$O$35,13,FALSE)*(1+P35)*(1+(R35/9)),IF(AND(E35='2. AWARDS'!J$7,O35&gt;N35,O35&gt;Q35,VLOOKUP(F35,'2. AWARDS'!$C$9:$O$35,13,FALSE)=0),X35*(1+P35)*(1+(R35/9)),IF(AND(O35&lt;N35,O35&gt;Q35),X35*(1+P35)*(1+(R35/9)),IF(AND(E35='2. AWARDS'!F$7,O35=MAX(N35,Q35),VLOOKUP(F35,'2. AWARDS'!$C$9:$O$35,9,FALSE)&lt;&gt;0),VLOOKUP(F35,'2. AWARDS'!$C$9:$O$35,9,FALSE)*(1+P35)*(1+(R35/9)),IF(AND(E35='2. AWARDS'!F$7,O35=MAX(N35,Q35),VLOOKUP(F35,'2. AWARDS'!$C$9:$O$35,9,FALSE)=0),X35*(1+P35)*(1+(R35/9)),IF(AND(E35='2. AWARDS'!G$7,O35=MAX(N35,Q35),VLOOKUP(F35,'2. AWARDS'!$C$9:$O$35,10,FALSE)&lt;&gt;0),VLOOKUP(F35,'2. AWARDS'!$C$9:$O$35,10,FALSE)*(1+P35)*(1+(R35/9)),IF(AND(E35='2. AWARDS'!G$7,O35=MAX(N35,Q35),VLOOKUP(F35,'2. AWARDS'!$C$9:$O$35,10,FALSE)=0),X35*(1+P35)*(1+(R35/9)),IF(AND(E35='2. AWARDS'!H$7,O35=MAX(N35,Q35),VLOOKUP(F35,'2. AWARDS'!$C$9:$O$35,11,FALSE)&lt;&gt;0),VLOOKUP(F35,'2. AWARDS'!$C$9:$O$35,11,FALSE)*(1+P35)*(1+(R35/9)),IF(AND(E35='2. AWARDS'!H$7,O35=MAX(N35,Q35),VLOOKUP(F35,'2. AWARDS'!$C$9:$O$35,11,FALSE)=0),X35*(1+P35)*(1+(R35/9)),IF(AND(E35='2. AWARDS'!I$7,O35=MAX(N35,Q35),VLOOKUP(F35,'2. AWARDS'!$C$9:$O$35,12,FALSE)&lt;&gt;0),VLOOKUP(F35,'2. AWARDS'!$C$9:$O$35,12,FALSE)*(1+P35)*(1+(R35/9)),IF(AND(E35='2. AWARDS'!I$7,O35=MAX(N35,Q35),VLOOKUP(F35,'2. AWARDS'!$C$9:$O$35,12,FALSE)=0),X35*(1+P35)*(1+(R35/9)),IF(AND(E35='2. AWARDS'!J$7,O35=MAX(N35,Q35),VLOOKUP(F35,'2. AWARDS'!$C$9:$O$35,13,FALSE)&lt;&gt;0),VLOOKUP(F35,'2. AWARDS'!$C$9:$O$35,13,FALSE)*(1+P35)*(1+(R35/9)),IF(AND(E35='2. AWARDS'!J$7,O35=MAX(N35,Q35),VLOOKUP(F35,'2. AWARDS'!$C$9:$O$35,13,FALSE)=0),X35*(1+P35)*(1+(R35/9)),IF(AND(O35&lt;N35,O35&lt;Q35),X35*(1+P35),IF(AND(O35=N35,N35&lt;Q35,E35='2. AWARDS'!F$7),VLOOKUP(F35,'2. AWARDS'!$C$9:$O$35,9,FALSE)*(1+P35),IF(AND(O35=N35,N35&lt;Q35,E35='2. AWARDS'!G$7),VLOOKUP(F35,'2. AWARDS'!$C$9:$O$35,10,FALSE)*(1+P35),IF(AND(O35=N35,N35&lt;Q35,E35='2. AWARDS'!H$7),VLOOKUP(F35,'2. AWARDS'!$C$9:$O$35,11,FALSE)*(1+P35),IF(AND(O35=N35,N35&lt;Q35,E35='2. AWARDS'!I$7),VLOOKUP(F35,'2. AWARDS'!$C$9:$O$35,12,FALSE)*(1+P35),IF(AND(O35=N35,N35&lt;Q35,E35='2. AWARDS'!J$7),VLOOKUP(F35,'2. AWARDS'!$C$9:$O$35,13,FALSE)*(1+P35),IF(AND(O35=Q35,N35&gt;Q35),X35*(1+P35)*(1+(R35/9)),IF(AND(E35='2. AWARDS'!F$7,O35&gt;N35,O35&lt;Q35,VLOOKUP(F35,'2. AWARDS'!$C$9:$O$35,9,FALSE)&lt;&gt;0),VLOOKUP(F35,'2. AWARDS'!$C$9:$O$35,9,FALSE)*(1+P35),IF(AND(E35='2. AWARDS'!G$7,O35&gt;N35,O35&lt;Q35,VLOOKUP(F35,'2. AWARDS'!$C$9:$O$35,10,FALSE)&lt;&gt;0),VLOOKUP(F35,'2. AWARDS'!$C$9:$O$35,10,FALSE)*(1+P35),IF(AND(E35='2. AWARDS'!H$7,O35&gt;N35,O35&lt;Q35,VLOOKUP(F35,'2. AWARDS'!$C$9:$O$35,11,FALSE)&lt;&gt;0),VLOOKUP(F35,'2. AWARDS'!$C$9:$O$35,11,FALSE)*(1+P35),IF(AND(E35='2. AWARDS'!I$7,O35&gt;N35,O35&lt;Q35,VLOOKUP(F35,'2. AWARDS'!$C$9:$O$35,12,FALSE)&lt;&gt;0),VLOOKUP(F35,'2. AWARDS'!$C$9:$O$35,12,FALSE)*(1+P35),IF(AND(E35='2. AWARDS'!J$7,O35&gt;N35,O35&lt;Q35,VLOOKUP(F35,'2. AWARDS'!$C$9:$O$35,13,FALSE)&lt;&gt;0),VLOOKUP(F35,'2. AWARDS'!$C$9:$O$35,13,FALSE)*(1+P35),X35*(1+P35))))))))))))))))))))))))))))))))))</f>
        <v>#N/A</v>
      </c>
      <c r="AA35" s="661" t="e">
        <f t="shared" si="2"/>
        <v>#N/A</v>
      </c>
      <c r="AB35" s="683"/>
      <c r="AC35" s="774"/>
      <c r="AD35" s="774"/>
      <c r="AE35" s="774"/>
      <c r="AF35" s="781">
        <f t="shared" si="9"/>
        <v>0</v>
      </c>
      <c r="AG35" s="781" t="e">
        <f>HLOOKUP(E35,'2. AWARDS'!$F$7:$J$40,32,FALSE)/5*HLOOKUP(E35,'2. AWARDS'!$F$7:$J$40,31,FALSE)*MAX(W35:AA35)*M35*HLOOKUP(E35,'2. AWARDS'!$F$7:$J$40,34,FALSE)*L35/(38*2)</f>
        <v>#N/A</v>
      </c>
      <c r="AH35" s="783" t="e">
        <f>((HLOOKUP(E35,'2. AWARDS'!$F$7:$J$42,36,FALSE)/HLOOKUP(E35,'2. AWARDS'!$F$7:$J$42,35,FALSE)*HLOOKUP(E35,'2. AWARDS'!$F$7:$J$45,39,FALSE))/(HLOOKUP(E35,'2. AWARDS'!$F$7:$J$45,31,FALSE)*2)*L35*M35*HLOOKUP(E35,'2. AWARDS'!$F$7:$J$45,31,FALSE)*MAX(W35:AA35))</f>
        <v>#N/A</v>
      </c>
      <c r="AI35" s="474"/>
      <c r="AJ35" s="804"/>
      <c r="AK35" s="801"/>
      <c r="AL35" s="801"/>
      <c r="AM35" s="802"/>
      <c r="AN35" s="805"/>
      <c r="AO35" s="836">
        <f>IF(AJ35="YES",HLOOKUP(E35,'2. AWARDS'!$F$7:$J$38,32,FALSE)/5*HLOOKUP(E35,'2. AWARDS'!$F$7:$J$37,31,FALSE)*L35/(HLOOKUP(E35,'2. AWARDS'!$F$7:$J$37,31,FALSE)*2)*M35*MAX(W35:AA35)*(1+HLOOKUP(E35,'2. AWARDS'!$F$7:$J$43,37,FALSE))*(1-AM35),0)</f>
        <v>0</v>
      </c>
      <c r="AP35" s="836">
        <f>IF(AK35="YES",HLOOKUP(E35,'2. AWARDS'!$F$7:$J$39,33,FALSE)/5*HLOOKUP(E35,'2. AWARDS'!$F$7:$J$37,31,FALSE)*L35/(HLOOKUP(E35,'2. AWARDS'!$F$7:$J$37,31,FALSE)*2)*M35*MAX(W35:AA35)*(1+HLOOKUP(E35,'2. AWARDS'!$F$7:$J$43,37,FALSE))*(1-AM35),0)</f>
        <v>0</v>
      </c>
      <c r="AQ35" s="838">
        <f>IF(AL35="YES",HLOOKUP(E35,'2. AWARDS'!$F$7:$J$47,40,FALSE)/5*HLOOKUP(E35,'2. AWARDS'!$F$7:$J$37,31,FALSE)*L35/(HLOOKUP(E35,'2. AWARDS'!$F$7:$J$37,31,FALSE)*2)*M35*MAX(W35:AA35)*(1+HLOOKUP(E35,'2. AWARDS'!$F$7:$J$43,37,FALSE))*(1-AM35),0)</f>
        <v>0</v>
      </c>
      <c r="AR35" s="839">
        <f>(IF(AJ35="YES",HLOOKUP(E35,'2. AWARDS'!$F$7:$J$39,32,FALSE),0)+IF(AK35="YES",HLOOKUP(E35,'2. AWARDS'!$F$7:$J$39,33,FALSE),0)+IF(AL35="YES",HLOOKUP(E35,'2. AWARDS'!$F$7:$J$47,40,FALSE),0))*L35/76*7.6*AM35*AN35*M35</f>
        <v>0</v>
      </c>
      <c r="AS35" s="683"/>
      <c r="AT35" s="215">
        <f>'1. KEY DATA'!J$29</f>
        <v>0</v>
      </c>
      <c r="AU35" s="218">
        <f>'1. KEY DATA'!J$30</f>
        <v>0.09</v>
      </c>
      <c r="AV35" s="502"/>
      <c r="AW35" s="1104">
        <f t="shared" si="3"/>
        <v>0</v>
      </c>
      <c r="AX35" s="176"/>
      <c r="AY35" s="173"/>
      <c r="AZ35" s="452">
        <f t="shared" si="4"/>
        <v>0</v>
      </c>
      <c r="BA35" s="405" t="str">
        <f t="shared" si="11"/>
        <v>-</v>
      </c>
      <c r="BB35" s="406" t="str">
        <f t="shared" si="11"/>
        <v>-</v>
      </c>
      <c r="BC35" s="406" t="str">
        <f t="shared" si="11"/>
        <v>-</v>
      </c>
      <c r="BD35" s="406" t="str">
        <f t="shared" si="11"/>
        <v>-</v>
      </c>
      <c r="BE35" s="406" t="str">
        <f t="shared" si="11"/>
        <v>-</v>
      </c>
      <c r="BF35" s="406" t="str">
        <f t="shared" si="11"/>
        <v>-</v>
      </c>
      <c r="BG35" s="406" t="str">
        <f t="shared" si="11"/>
        <v>-</v>
      </c>
      <c r="BH35" s="406" t="str">
        <f t="shared" si="11"/>
        <v>-</v>
      </c>
      <c r="BI35" s="406" t="str">
        <f t="shared" si="11"/>
        <v>-</v>
      </c>
      <c r="BJ35" s="406" t="str">
        <f t="shared" si="11"/>
        <v>-</v>
      </c>
      <c r="BK35" s="406" t="str">
        <f t="shared" si="11"/>
        <v>-</v>
      </c>
      <c r="BL35" s="406" t="str">
        <f t="shared" si="11"/>
        <v>-</v>
      </c>
      <c r="BM35" s="406" t="str">
        <f t="shared" si="11"/>
        <v>-</v>
      </c>
      <c r="BN35" s="406" t="str">
        <f t="shared" si="11"/>
        <v>-</v>
      </c>
      <c r="BO35" s="407" t="str">
        <f t="shared" si="11"/>
        <v>-</v>
      </c>
      <c r="BP35" s="1539"/>
    </row>
    <row r="36" spans="1:69" s="9" customFormat="1">
      <c r="B36" s="505"/>
      <c r="C36" s="80"/>
      <c r="D36" s="699">
        <f t="shared" si="1"/>
        <v>0</v>
      </c>
      <c r="E36" s="626"/>
      <c r="F36" s="652"/>
      <c r="G36" s="702"/>
      <c r="H36" s="693"/>
      <c r="I36" s="694"/>
      <c r="J36" s="1113"/>
      <c r="K36" s="1114"/>
      <c r="L36" s="763"/>
      <c r="M36" s="689"/>
      <c r="N36" s="629"/>
      <c r="O36" s="629"/>
      <c r="P36" s="638">
        <f t="shared" si="6"/>
        <v>0.03</v>
      </c>
      <c r="Q36" s="629"/>
      <c r="R36" s="673" t="str">
        <f t="shared" si="7"/>
        <v>-</v>
      </c>
      <c r="S36" s="649"/>
      <c r="T36" s="647"/>
      <c r="U36" s="827"/>
      <c r="V36" s="670"/>
      <c r="W36" s="798">
        <f t="shared" si="8"/>
        <v>0</v>
      </c>
      <c r="X36" s="656">
        <f>IF(OR(E36=0,F36=0),0,IF(E36='2. AWARDS'!F$7,VLOOKUP(F36,'2. AWARDS'!$C$9:$F$35,4,FALSE),IF(E36='2. AWARDS'!G$7,VLOOKUP(F36,'2. AWARDS'!$C$9:$G$35,5,FALSE),IF(E36='2. AWARDS'!H$7,VLOOKUP(F36,'2. AWARDS'!$C$9:$H$35,6,FALSE),IF(E36='2. AWARDS'!I$7,VLOOKUP(F36,'2. AWARDS'!$C$9:$I$35,7,FALSE),VLOOKUP(F36,'2. AWARDS'!$C$9:$J$35,8,FALSE))))))</f>
        <v>0</v>
      </c>
      <c r="Y36" s="657">
        <f>IF(OR(E36=0,F36=0),0,IF(AND(N36=0,E36='2. AWARDS'!F$7,VLOOKUP(F36,'2. AWARDS'!$C$9:$O$35,9,FALSE)&lt;&gt;0),"date missing",IF(AND(N36=0,E36='2. AWARDS'!G$7,VLOOKUP(F36,'2. AWARDS'!$C$9:$O$35,10,FALSE)&lt;&gt;0),"date missing",IF(AND(N36=0,E36='2. AWARDS'!H$7,VLOOKUP(F36,'2. AWARDS'!$C$9:$O$35,11,FALSE)&lt;&gt;0),"date missing",IF(AND(N36=0,E36='2. AWARDS'!I$7,VLOOKUP(F36,'2. AWARDS'!$C$9:$O$35,12,FALSE)&lt;&gt;0),"date missing",IF(AND(N36=0,E36='2. AWARDS'!J$7,VLOOKUP(F36,'2. AWARDS'!$C$9:$O$35,13,FALSE)&lt;&gt;0),"date missing",IF(N36=0,0,IF(OR(N36=MIN(O36,Q36),AND(N36&lt;O36,N36&lt;Q36,N36&gt;0)),IF(E36='2. AWARDS'!F$7,VLOOKUP(F36,'2. AWARDS'!$C$9:$O$35,9,FALSE),IF(E36='2. AWARDS'!G$7,VLOOKUP(F36,'2. AWARDS'!$C$9:$O$35,10,FALSE),IF(E36='2. AWARDS'!H$7,VLOOKUP(F36,'2. AWARDS'!$C$9:$O$35,11,FALSE),IF(E36='2. AWARDS'!I$7,VLOOKUP(F36,'2. AWARDS'!$C$9:$O$35,12,FALSE),IF(E36='2. AWARDS'!J$7,VLOOKUP(F36,'2. AWARDS'!$C$9:$O$35,13,FALSE)))))),IF(AND(N36&gt;O36,N36&lt;Q36),IF(E36='2. AWARDS'!F$7,(1+P36)*VLOOKUP(F36,'2. AWARDS'!$C$9:$O$35,9,FALSE),IF(E36='2. AWARDS'!G$7,(1+P36)*VLOOKUP(F36,'2. AWARDS'!$C$9:$O$35,10,FALSE),IF(E36='2. AWARDS'!H$7,(1+P36)*VLOOKUP(F36,'2. AWARDS'!$C$9:$O$35,11,FALSE),IF(E36='2. AWARDS'!I$7,(1+P36)*VLOOKUP(F36,'2. AWARDS'!$C$9:$O$35,12,FALSE),IF(E36='2. AWARDS'!J$7,(1+P36)*VLOOKUP(F36,'2. AWARDS'!$C$9:$O$35,13,FALSE)))))),IF(AND(N36&lt;O36,N36&gt;Q36),IF(E36='2. AWARDS'!F$7,(1+(R36/9))*VLOOKUP(F36,'2. AWARDS'!$C$9:$O$35,9,FALSE),IF(E36='2. AWARDS'!G$7,(1+(R36/9))*VLOOKUP(F36,'2. AWARDS'!$C$9:$O$35,10,FALSE),IF(E36='2. AWARDS'!H$7,(1+(R36/9))*VLOOKUP(F36,'2. AWARDS'!$C$9:$O$35,11,FALSE),IF(E36='2. AWARDS'!I$7,(1+(R36/9))*VLOOKUP(F36,'2. AWARDS'!$C$9:$O$35,12,FALSE),IF(E36='2. AWARDS'!J$7,(1+(R36/9))*VLOOKUP(F36,'2. AWARDS'!$C$9:$O$35,13,FALSE)))))),IF(OR(N36=MAX(O36,Q36),AND(N36&gt;O36,N36&gt;Q36)),IF(E36='2. AWARDS'!F$7,((1+(R36/9))*(1+P36))*VLOOKUP(F36,'2. AWARDS'!$C$9:$O$35,9,FALSE),IF(E36='2. AWARDS'!G$7,((1+(R36/9))*(1+P36))*VLOOKUP(F36,'2. AWARDS'!$C$9:$O$35,10,FALSE),IF(E36='2. AWARDS'!H$7,((1+(R36/9))*(1+P36))*VLOOKUP(F36,'2. AWARDS'!$C$9:$O$35,11,FALSE),IF(E36='2. AWARDS'!I$7,((1+(R36/9))*(1+P36))*VLOOKUP(F36,'2. AWARDS'!$C$9:$O$35,12,FALSE),IF(E36='2. AWARDS'!J$7,((1+(R36/9))*(1+P36))*VLOOKUP(F36,'2. AWARDS'!$C$9:$O$35,13,FALSE)))))),"?")))))))))))</f>
        <v>0</v>
      </c>
      <c r="Z36" s="656" t="e">
        <f>IF(AND(E36='2. AWARDS'!F$7,O36&gt;N36,O36&gt;Q36,VLOOKUP(F36,'2. AWARDS'!$C$9:$O$35,9,FALSE)&lt;&gt;0),VLOOKUP(F36,'2. AWARDS'!$C$9:$O$35,9,FALSE)*(1+P36)*(1+(R36/9)),IF(AND(E36='2. AWARDS'!F$7,O36&gt;N36,O36&gt;Q36,VLOOKUP(F36,'2. AWARDS'!$C$9:$O$35,9,FALSE)=0),X36*(1+P36)*(1+(R36/9)),IF(AND(E36='2. AWARDS'!G$7,O36&gt;N36,O36&gt;Q36,VLOOKUP(F36,'2. AWARDS'!$C$9:$O$35,10,FALSE)&lt;&gt;0),VLOOKUP(F36,'2. AWARDS'!$C$9:$O$35,10,FALSE)*(1+P36)*(1+(R36/9)),IF(AND(E36='2. AWARDS'!G$7,O36&gt;N36,O36&gt;Q36,VLOOKUP(F36,'2. AWARDS'!$C$9:$O$35,10,FALSE)=0),X36*(1+P36)*(1+(R36/9)),IF(AND(E36='2. AWARDS'!H$7,O36&gt;N36,O36&gt;Q36,VLOOKUP(F36,'2. AWARDS'!$C$9:$O$35,11,FALSE)&lt;&gt;0),VLOOKUP(F36,'2. AWARDS'!$C$9:$O$35,11,FALSE)*(1+P36)*(1+(R36/9)),IF(AND(E36='2. AWARDS'!H$7,O36&gt;N36,O36&gt;Q36,VLOOKUP(F36,'2. AWARDS'!$C$9:$O$35,11,FALSE)=0),X36*(1+P36)*(1+(R36/9)),IF(AND(E36='2. AWARDS'!I$7,O36&gt;N36,O36&gt;Q36,VLOOKUP(F36,'2. AWARDS'!$C$9:$O$35,12,FALSE)&lt;&gt;0),VLOOKUP(F36,'2. AWARDS'!$C$9:$O$35,12,FALSE)*(1+P36)*(1+(R36/9)),IF(AND(E36='2. AWARDS'!I$7,O36&gt;N36,O36&gt;Q36,VLOOKUP(F36,'2. AWARDS'!$C$9:$O$35,12,FALSE)=0),X36*(1+P36)*(1+(R36/9)),IF(AND(E36='2. AWARDS'!J$7,O36&gt;N36,O36&gt;Q36,VLOOKUP(F36,'2. AWARDS'!$C$9:$O$35,13,FALSE)&lt;&gt;0),VLOOKUP(F36,'2. AWARDS'!$C$9:$O$35,13,FALSE)*(1+P36)*(1+(R36/9)),IF(AND(E36='2. AWARDS'!J$7,O36&gt;N36,O36&gt;Q36,VLOOKUP(F36,'2. AWARDS'!$C$9:$O$35,13,FALSE)=0),X36*(1+P36)*(1+(R36/9)),IF(AND(O36&lt;N36,O36&gt;Q36),X36*(1+P36)*(1+(R36/9)),IF(AND(E36='2. AWARDS'!F$7,O36=MAX(N36,Q36),VLOOKUP(F36,'2. AWARDS'!$C$9:$O$35,9,FALSE)&lt;&gt;0),VLOOKUP(F36,'2. AWARDS'!$C$9:$O$35,9,FALSE)*(1+P36)*(1+(R36/9)),IF(AND(E36='2. AWARDS'!F$7,O36=MAX(N36,Q36),VLOOKUP(F36,'2. AWARDS'!$C$9:$O$35,9,FALSE)=0),X36*(1+P36)*(1+(R36/9)),IF(AND(E36='2. AWARDS'!G$7,O36=MAX(N36,Q36),VLOOKUP(F36,'2. AWARDS'!$C$9:$O$35,10,FALSE)&lt;&gt;0),VLOOKUP(F36,'2. AWARDS'!$C$9:$O$35,10,FALSE)*(1+P36)*(1+(R36/9)),IF(AND(E36='2. AWARDS'!G$7,O36=MAX(N36,Q36),VLOOKUP(F36,'2. AWARDS'!$C$9:$O$35,10,FALSE)=0),X36*(1+P36)*(1+(R36/9)),IF(AND(E36='2. AWARDS'!H$7,O36=MAX(N36,Q36),VLOOKUP(F36,'2. AWARDS'!$C$9:$O$35,11,FALSE)&lt;&gt;0),VLOOKUP(F36,'2. AWARDS'!$C$9:$O$35,11,FALSE)*(1+P36)*(1+(R36/9)),IF(AND(E36='2. AWARDS'!H$7,O36=MAX(N36,Q36),VLOOKUP(F36,'2. AWARDS'!$C$9:$O$35,11,FALSE)=0),X36*(1+P36)*(1+(R36/9)),IF(AND(E36='2. AWARDS'!I$7,O36=MAX(N36,Q36),VLOOKUP(F36,'2. AWARDS'!$C$9:$O$35,12,FALSE)&lt;&gt;0),VLOOKUP(F36,'2. AWARDS'!$C$9:$O$35,12,FALSE)*(1+P36)*(1+(R36/9)),IF(AND(E36='2. AWARDS'!I$7,O36=MAX(N36,Q36),VLOOKUP(F36,'2. AWARDS'!$C$9:$O$35,12,FALSE)=0),X36*(1+P36)*(1+(R36/9)),IF(AND(E36='2. AWARDS'!J$7,O36=MAX(N36,Q36),VLOOKUP(F36,'2. AWARDS'!$C$9:$O$35,13,FALSE)&lt;&gt;0),VLOOKUP(F36,'2. AWARDS'!$C$9:$O$35,13,FALSE)*(1+P36)*(1+(R36/9)),IF(AND(E36='2. AWARDS'!J$7,O36=MAX(N36,Q36),VLOOKUP(F36,'2. AWARDS'!$C$9:$O$35,13,FALSE)=0),X36*(1+P36)*(1+(R36/9)),IF(AND(O36&lt;N36,O36&lt;Q36),X36*(1+P36),IF(AND(O36=N36,N36&lt;Q36,E36='2. AWARDS'!F$7),VLOOKUP(F36,'2. AWARDS'!$C$9:$O$35,9,FALSE)*(1+P36),IF(AND(O36=N36,N36&lt;Q36,E36='2. AWARDS'!G$7),VLOOKUP(F36,'2. AWARDS'!$C$9:$O$35,10,FALSE)*(1+P36),IF(AND(O36=N36,N36&lt;Q36,E36='2. AWARDS'!H$7),VLOOKUP(F36,'2. AWARDS'!$C$9:$O$35,11,FALSE)*(1+P36),IF(AND(O36=N36,N36&lt;Q36,E36='2. AWARDS'!I$7),VLOOKUP(F36,'2. AWARDS'!$C$9:$O$35,12,FALSE)*(1+P36),IF(AND(O36=N36,N36&lt;Q36,E36='2. AWARDS'!J$7),VLOOKUP(F36,'2. AWARDS'!$C$9:$O$35,13,FALSE)*(1+P36),IF(AND(O36=Q36,N36&gt;Q36),X36*(1+P36)*(1+(R36/9)),IF(AND(E36='2. AWARDS'!F$7,O36&gt;N36,O36&lt;Q36,VLOOKUP(F36,'2. AWARDS'!$C$9:$O$35,9,FALSE)&lt;&gt;0),VLOOKUP(F36,'2. AWARDS'!$C$9:$O$35,9,FALSE)*(1+P36),IF(AND(E36='2. AWARDS'!G$7,O36&gt;N36,O36&lt;Q36,VLOOKUP(F36,'2. AWARDS'!$C$9:$O$35,10,FALSE)&lt;&gt;0),VLOOKUP(F36,'2. AWARDS'!$C$9:$O$35,10,FALSE)*(1+P36),IF(AND(E36='2. AWARDS'!H$7,O36&gt;N36,O36&lt;Q36,VLOOKUP(F36,'2. AWARDS'!$C$9:$O$35,11,FALSE)&lt;&gt;0),VLOOKUP(F36,'2. AWARDS'!$C$9:$O$35,11,FALSE)*(1+P36),IF(AND(E36='2. AWARDS'!I$7,O36&gt;N36,O36&lt;Q36,VLOOKUP(F36,'2. AWARDS'!$C$9:$O$35,12,FALSE)&lt;&gt;0),VLOOKUP(F36,'2. AWARDS'!$C$9:$O$35,12,FALSE)*(1+P36),IF(AND(E36='2. AWARDS'!J$7,O36&gt;N36,O36&lt;Q36,VLOOKUP(F36,'2. AWARDS'!$C$9:$O$35,13,FALSE)&lt;&gt;0),VLOOKUP(F36,'2. AWARDS'!$C$9:$O$35,13,FALSE)*(1+P36),X36*(1+P36))))))))))))))))))))))))))))))))))</f>
        <v>#N/A</v>
      </c>
      <c r="AA36" s="661" t="e">
        <f t="shared" si="2"/>
        <v>#N/A</v>
      </c>
      <c r="AB36" s="683"/>
      <c r="AC36" s="774"/>
      <c r="AD36" s="774"/>
      <c r="AE36" s="774"/>
      <c r="AF36" s="781">
        <f t="shared" si="9"/>
        <v>0</v>
      </c>
      <c r="AG36" s="781" t="e">
        <f>HLOOKUP(E36,'2. AWARDS'!$F$7:$J$40,32,FALSE)/5*HLOOKUP(E36,'2. AWARDS'!$F$7:$J$40,31,FALSE)*MAX(W36:AA36)*M36*HLOOKUP(E36,'2. AWARDS'!$F$7:$J$40,34,FALSE)*L36/(38*2)</f>
        <v>#N/A</v>
      </c>
      <c r="AH36" s="783" t="e">
        <f>((HLOOKUP(E36,'2. AWARDS'!$F$7:$J$42,36,FALSE)/HLOOKUP(E36,'2. AWARDS'!$F$7:$J$42,35,FALSE)*HLOOKUP(E36,'2. AWARDS'!$F$7:$J$45,39,FALSE))/(HLOOKUP(E36,'2. AWARDS'!$F$7:$J$45,31,FALSE)*2)*L36*M36*HLOOKUP(E36,'2. AWARDS'!$F$7:$J$45,31,FALSE)*MAX(W36:AA36))</f>
        <v>#N/A</v>
      </c>
      <c r="AI36" s="474"/>
      <c r="AJ36" s="804"/>
      <c r="AK36" s="801"/>
      <c r="AL36" s="801"/>
      <c r="AM36" s="802"/>
      <c r="AN36" s="805"/>
      <c r="AO36" s="836">
        <f>IF(AJ36="YES",HLOOKUP(E36,'2. AWARDS'!$F$7:$J$38,32,FALSE)/5*HLOOKUP(E36,'2. AWARDS'!$F$7:$J$37,31,FALSE)*L36/(HLOOKUP(E36,'2. AWARDS'!$F$7:$J$37,31,FALSE)*2)*M36*MAX(W36:AA36)*(1+HLOOKUP(E36,'2. AWARDS'!$F$7:$J$43,37,FALSE))*(1-AM36),0)</f>
        <v>0</v>
      </c>
      <c r="AP36" s="836">
        <f>IF(AK36="YES",HLOOKUP(E36,'2. AWARDS'!$F$7:$J$39,33,FALSE)/5*HLOOKUP(E36,'2. AWARDS'!$F$7:$J$37,31,FALSE)*L36/(HLOOKUP(E36,'2. AWARDS'!$F$7:$J$37,31,FALSE)*2)*M36*MAX(W36:AA36)*(1+HLOOKUP(E36,'2. AWARDS'!$F$7:$J$43,37,FALSE))*(1-AM36),0)</f>
        <v>0</v>
      </c>
      <c r="AQ36" s="838">
        <f>IF(AL36="YES",HLOOKUP(E36,'2. AWARDS'!$F$7:$J$47,40,FALSE)/5*HLOOKUP(E36,'2. AWARDS'!$F$7:$J$37,31,FALSE)*L36/(HLOOKUP(E36,'2. AWARDS'!$F$7:$J$37,31,FALSE)*2)*M36*MAX(W36:AA36)*(1+HLOOKUP(E36,'2. AWARDS'!$F$7:$J$43,37,FALSE))*(1-AM36),0)</f>
        <v>0</v>
      </c>
      <c r="AR36" s="839">
        <f>(IF(AJ36="YES",HLOOKUP(E36,'2. AWARDS'!$F$7:$J$39,32,FALSE),0)+IF(AK36="YES",HLOOKUP(E36,'2. AWARDS'!$F$7:$J$39,33,FALSE),0)+IF(AL36="YES",HLOOKUP(E36,'2. AWARDS'!$F$7:$J$47,40,FALSE),0))*L36/76*7.6*AM36*AN36*M36</f>
        <v>0</v>
      </c>
      <c r="AS36" s="683"/>
      <c r="AT36" s="215">
        <f>'1. KEY DATA'!J$29</f>
        <v>0</v>
      </c>
      <c r="AU36" s="218">
        <f>'1. KEY DATA'!J$30</f>
        <v>0.09</v>
      </c>
      <c r="AV36" s="502"/>
      <c r="AW36" s="1104">
        <f t="shared" si="3"/>
        <v>0</v>
      </c>
      <c r="AX36" s="176"/>
      <c r="AY36" s="173"/>
      <c r="AZ36" s="452">
        <f t="shared" si="4"/>
        <v>0</v>
      </c>
      <c r="BA36" s="405" t="str">
        <f t="shared" si="11"/>
        <v>-</v>
      </c>
      <c r="BB36" s="406" t="str">
        <f t="shared" si="11"/>
        <v>-</v>
      </c>
      <c r="BC36" s="406" t="str">
        <f t="shared" si="11"/>
        <v>-</v>
      </c>
      <c r="BD36" s="406" t="str">
        <f t="shared" si="11"/>
        <v>-</v>
      </c>
      <c r="BE36" s="406" t="str">
        <f t="shared" si="11"/>
        <v>-</v>
      </c>
      <c r="BF36" s="406" t="str">
        <f t="shared" si="11"/>
        <v>-</v>
      </c>
      <c r="BG36" s="406" t="str">
        <f t="shared" si="11"/>
        <v>-</v>
      </c>
      <c r="BH36" s="406" t="str">
        <f t="shared" si="11"/>
        <v>-</v>
      </c>
      <c r="BI36" s="406" t="str">
        <f t="shared" si="11"/>
        <v>-</v>
      </c>
      <c r="BJ36" s="406" t="str">
        <f t="shared" si="11"/>
        <v>-</v>
      </c>
      <c r="BK36" s="406" t="str">
        <f t="shared" si="11"/>
        <v>-</v>
      </c>
      <c r="BL36" s="406" t="str">
        <f t="shared" si="11"/>
        <v>-</v>
      </c>
      <c r="BM36" s="406" t="str">
        <f t="shared" si="11"/>
        <v>-</v>
      </c>
      <c r="BN36" s="406" t="str">
        <f t="shared" si="11"/>
        <v>-</v>
      </c>
      <c r="BO36" s="407" t="str">
        <f t="shared" si="11"/>
        <v>-</v>
      </c>
      <c r="BP36" s="1539"/>
    </row>
    <row r="37" spans="1:69" s="9" customFormat="1">
      <c r="B37" s="505"/>
      <c r="C37" s="80"/>
      <c r="D37" s="699">
        <f t="shared" si="1"/>
        <v>0</v>
      </c>
      <c r="E37" s="626"/>
      <c r="F37" s="652"/>
      <c r="G37" s="702"/>
      <c r="H37" s="693"/>
      <c r="I37" s="694"/>
      <c r="J37" s="1113"/>
      <c r="K37" s="1114"/>
      <c r="L37" s="763"/>
      <c r="M37" s="689"/>
      <c r="N37" s="629"/>
      <c r="O37" s="629"/>
      <c r="P37" s="638">
        <f t="shared" si="6"/>
        <v>0.03</v>
      </c>
      <c r="Q37" s="629"/>
      <c r="R37" s="673" t="str">
        <f t="shared" si="7"/>
        <v>-</v>
      </c>
      <c r="S37" s="649"/>
      <c r="T37" s="647"/>
      <c r="U37" s="827"/>
      <c r="V37" s="670"/>
      <c r="W37" s="798">
        <f t="shared" si="8"/>
        <v>0</v>
      </c>
      <c r="X37" s="656">
        <f>IF(OR(E37=0,F37=0),0,IF(E37='2. AWARDS'!F$7,VLOOKUP(F37,'2. AWARDS'!$C$9:$F$35,4,FALSE),IF(E37='2. AWARDS'!G$7,VLOOKUP(F37,'2. AWARDS'!$C$9:$G$35,5,FALSE),IF(E37='2. AWARDS'!H$7,VLOOKUP(F37,'2. AWARDS'!$C$9:$H$35,6,FALSE),IF(E37='2. AWARDS'!I$7,VLOOKUP(F37,'2. AWARDS'!$C$9:$I$35,7,FALSE),VLOOKUP(F37,'2. AWARDS'!$C$9:$J$35,8,FALSE))))))</f>
        <v>0</v>
      </c>
      <c r="Y37" s="657">
        <f>IF(OR(E37=0,F37=0),0,IF(AND(N37=0,E37='2. AWARDS'!F$7,VLOOKUP(F37,'2. AWARDS'!$C$9:$O$35,9,FALSE)&lt;&gt;0),"date missing",IF(AND(N37=0,E37='2. AWARDS'!G$7,VLOOKUP(F37,'2. AWARDS'!$C$9:$O$35,10,FALSE)&lt;&gt;0),"date missing",IF(AND(N37=0,E37='2. AWARDS'!H$7,VLOOKUP(F37,'2. AWARDS'!$C$9:$O$35,11,FALSE)&lt;&gt;0),"date missing",IF(AND(N37=0,E37='2. AWARDS'!I$7,VLOOKUP(F37,'2. AWARDS'!$C$9:$O$35,12,FALSE)&lt;&gt;0),"date missing",IF(AND(N37=0,E37='2. AWARDS'!J$7,VLOOKUP(F37,'2. AWARDS'!$C$9:$O$35,13,FALSE)&lt;&gt;0),"date missing",IF(N37=0,0,IF(OR(N37=MIN(O37,Q37),AND(N37&lt;O37,N37&lt;Q37,N37&gt;0)),IF(E37='2. AWARDS'!F$7,VLOOKUP(F37,'2. AWARDS'!$C$9:$O$35,9,FALSE),IF(E37='2. AWARDS'!G$7,VLOOKUP(F37,'2. AWARDS'!$C$9:$O$35,10,FALSE),IF(E37='2. AWARDS'!H$7,VLOOKUP(F37,'2. AWARDS'!$C$9:$O$35,11,FALSE),IF(E37='2. AWARDS'!I$7,VLOOKUP(F37,'2. AWARDS'!$C$9:$O$35,12,FALSE),IF(E37='2. AWARDS'!J$7,VLOOKUP(F37,'2. AWARDS'!$C$9:$O$35,13,FALSE)))))),IF(AND(N37&gt;O37,N37&lt;Q37),IF(E37='2. AWARDS'!F$7,(1+P37)*VLOOKUP(F37,'2. AWARDS'!$C$9:$O$35,9,FALSE),IF(E37='2. AWARDS'!G$7,(1+P37)*VLOOKUP(F37,'2. AWARDS'!$C$9:$O$35,10,FALSE),IF(E37='2. AWARDS'!H$7,(1+P37)*VLOOKUP(F37,'2. AWARDS'!$C$9:$O$35,11,FALSE),IF(E37='2. AWARDS'!I$7,(1+P37)*VLOOKUP(F37,'2. AWARDS'!$C$9:$O$35,12,FALSE),IF(E37='2. AWARDS'!J$7,(1+P37)*VLOOKUP(F37,'2. AWARDS'!$C$9:$O$35,13,FALSE)))))),IF(AND(N37&lt;O37,N37&gt;Q37),IF(E37='2. AWARDS'!F$7,(1+(R37/9))*VLOOKUP(F37,'2. AWARDS'!$C$9:$O$35,9,FALSE),IF(E37='2. AWARDS'!G$7,(1+(R37/9))*VLOOKUP(F37,'2. AWARDS'!$C$9:$O$35,10,FALSE),IF(E37='2. AWARDS'!H$7,(1+(R37/9))*VLOOKUP(F37,'2. AWARDS'!$C$9:$O$35,11,FALSE),IF(E37='2. AWARDS'!I$7,(1+(R37/9))*VLOOKUP(F37,'2. AWARDS'!$C$9:$O$35,12,FALSE),IF(E37='2. AWARDS'!J$7,(1+(R37/9))*VLOOKUP(F37,'2. AWARDS'!$C$9:$O$35,13,FALSE)))))),IF(OR(N37=MAX(O37,Q37),AND(N37&gt;O37,N37&gt;Q37)),IF(E37='2. AWARDS'!F$7,((1+(R37/9))*(1+P37))*VLOOKUP(F37,'2. AWARDS'!$C$9:$O$35,9,FALSE),IF(E37='2. AWARDS'!G$7,((1+(R37/9))*(1+P37))*VLOOKUP(F37,'2. AWARDS'!$C$9:$O$35,10,FALSE),IF(E37='2. AWARDS'!H$7,((1+(R37/9))*(1+P37))*VLOOKUP(F37,'2. AWARDS'!$C$9:$O$35,11,FALSE),IF(E37='2. AWARDS'!I$7,((1+(R37/9))*(1+P37))*VLOOKUP(F37,'2. AWARDS'!$C$9:$O$35,12,FALSE),IF(E37='2. AWARDS'!J$7,((1+(R37/9))*(1+P37))*VLOOKUP(F37,'2. AWARDS'!$C$9:$O$35,13,FALSE)))))),"?")))))))))))</f>
        <v>0</v>
      </c>
      <c r="Z37" s="656" t="e">
        <f>IF(AND(E37='2. AWARDS'!F$7,O37&gt;N37,O37&gt;Q37,VLOOKUP(F37,'2. AWARDS'!$C$9:$O$35,9,FALSE)&lt;&gt;0),VLOOKUP(F37,'2. AWARDS'!$C$9:$O$35,9,FALSE)*(1+P37)*(1+(R37/9)),IF(AND(E37='2. AWARDS'!F$7,O37&gt;N37,O37&gt;Q37,VLOOKUP(F37,'2. AWARDS'!$C$9:$O$35,9,FALSE)=0),X37*(1+P37)*(1+(R37/9)),IF(AND(E37='2. AWARDS'!G$7,O37&gt;N37,O37&gt;Q37,VLOOKUP(F37,'2. AWARDS'!$C$9:$O$35,10,FALSE)&lt;&gt;0),VLOOKUP(F37,'2. AWARDS'!$C$9:$O$35,10,FALSE)*(1+P37)*(1+(R37/9)),IF(AND(E37='2. AWARDS'!G$7,O37&gt;N37,O37&gt;Q37,VLOOKUP(F37,'2. AWARDS'!$C$9:$O$35,10,FALSE)=0),X37*(1+P37)*(1+(R37/9)),IF(AND(E37='2. AWARDS'!H$7,O37&gt;N37,O37&gt;Q37,VLOOKUP(F37,'2. AWARDS'!$C$9:$O$35,11,FALSE)&lt;&gt;0),VLOOKUP(F37,'2. AWARDS'!$C$9:$O$35,11,FALSE)*(1+P37)*(1+(R37/9)),IF(AND(E37='2. AWARDS'!H$7,O37&gt;N37,O37&gt;Q37,VLOOKUP(F37,'2. AWARDS'!$C$9:$O$35,11,FALSE)=0),X37*(1+P37)*(1+(R37/9)),IF(AND(E37='2. AWARDS'!I$7,O37&gt;N37,O37&gt;Q37,VLOOKUP(F37,'2. AWARDS'!$C$9:$O$35,12,FALSE)&lt;&gt;0),VLOOKUP(F37,'2. AWARDS'!$C$9:$O$35,12,FALSE)*(1+P37)*(1+(R37/9)),IF(AND(E37='2. AWARDS'!I$7,O37&gt;N37,O37&gt;Q37,VLOOKUP(F37,'2. AWARDS'!$C$9:$O$35,12,FALSE)=0),X37*(1+P37)*(1+(R37/9)),IF(AND(E37='2. AWARDS'!J$7,O37&gt;N37,O37&gt;Q37,VLOOKUP(F37,'2. AWARDS'!$C$9:$O$35,13,FALSE)&lt;&gt;0),VLOOKUP(F37,'2. AWARDS'!$C$9:$O$35,13,FALSE)*(1+P37)*(1+(R37/9)),IF(AND(E37='2. AWARDS'!J$7,O37&gt;N37,O37&gt;Q37,VLOOKUP(F37,'2. AWARDS'!$C$9:$O$35,13,FALSE)=0),X37*(1+P37)*(1+(R37/9)),IF(AND(O37&lt;N37,O37&gt;Q37),X37*(1+P37)*(1+(R37/9)),IF(AND(E37='2. AWARDS'!F$7,O37=MAX(N37,Q37),VLOOKUP(F37,'2. AWARDS'!$C$9:$O$35,9,FALSE)&lt;&gt;0),VLOOKUP(F37,'2. AWARDS'!$C$9:$O$35,9,FALSE)*(1+P37)*(1+(R37/9)),IF(AND(E37='2. AWARDS'!F$7,O37=MAX(N37,Q37),VLOOKUP(F37,'2. AWARDS'!$C$9:$O$35,9,FALSE)=0),X37*(1+P37)*(1+(R37/9)),IF(AND(E37='2. AWARDS'!G$7,O37=MAX(N37,Q37),VLOOKUP(F37,'2. AWARDS'!$C$9:$O$35,10,FALSE)&lt;&gt;0),VLOOKUP(F37,'2. AWARDS'!$C$9:$O$35,10,FALSE)*(1+P37)*(1+(R37/9)),IF(AND(E37='2. AWARDS'!G$7,O37=MAX(N37,Q37),VLOOKUP(F37,'2. AWARDS'!$C$9:$O$35,10,FALSE)=0),X37*(1+P37)*(1+(R37/9)),IF(AND(E37='2. AWARDS'!H$7,O37=MAX(N37,Q37),VLOOKUP(F37,'2. AWARDS'!$C$9:$O$35,11,FALSE)&lt;&gt;0),VLOOKUP(F37,'2. AWARDS'!$C$9:$O$35,11,FALSE)*(1+P37)*(1+(R37/9)),IF(AND(E37='2. AWARDS'!H$7,O37=MAX(N37,Q37),VLOOKUP(F37,'2. AWARDS'!$C$9:$O$35,11,FALSE)=0),X37*(1+P37)*(1+(R37/9)),IF(AND(E37='2. AWARDS'!I$7,O37=MAX(N37,Q37),VLOOKUP(F37,'2. AWARDS'!$C$9:$O$35,12,FALSE)&lt;&gt;0),VLOOKUP(F37,'2. AWARDS'!$C$9:$O$35,12,FALSE)*(1+P37)*(1+(R37/9)),IF(AND(E37='2. AWARDS'!I$7,O37=MAX(N37,Q37),VLOOKUP(F37,'2. AWARDS'!$C$9:$O$35,12,FALSE)=0),X37*(1+P37)*(1+(R37/9)),IF(AND(E37='2. AWARDS'!J$7,O37=MAX(N37,Q37),VLOOKUP(F37,'2. AWARDS'!$C$9:$O$35,13,FALSE)&lt;&gt;0),VLOOKUP(F37,'2. AWARDS'!$C$9:$O$35,13,FALSE)*(1+P37)*(1+(R37/9)),IF(AND(E37='2. AWARDS'!J$7,O37=MAX(N37,Q37),VLOOKUP(F37,'2. AWARDS'!$C$9:$O$35,13,FALSE)=0),X37*(1+P37)*(1+(R37/9)),IF(AND(O37&lt;N37,O37&lt;Q37),X37*(1+P37),IF(AND(O37=N37,N37&lt;Q37,E37='2. AWARDS'!F$7),VLOOKUP(F37,'2. AWARDS'!$C$9:$O$35,9,FALSE)*(1+P37),IF(AND(O37=N37,N37&lt;Q37,E37='2. AWARDS'!G$7),VLOOKUP(F37,'2. AWARDS'!$C$9:$O$35,10,FALSE)*(1+P37),IF(AND(O37=N37,N37&lt;Q37,E37='2. AWARDS'!H$7),VLOOKUP(F37,'2. AWARDS'!$C$9:$O$35,11,FALSE)*(1+P37),IF(AND(O37=N37,N37&lt;Q37,E37='2. AWARDS'!I$7),VLOOKUP(F37,'2. AWARDS'!$C$9:$O$35,12,FALSE)*(1+P37),IF(AND(O37=N37,N37&lt;Q37,E37='2. AWARDS'!J$7),VLOOKUP(F37,'2. AWARDS'!$C$9:$O$35,13,FALSE)*(1+P37),IF(AND(O37=Q37,N37&gt;Q37),X37*(1+P37)*(1+(R37/9)),IF(AND(E37='2. AWARDS'!F$7,O37&gt;N37,O37&lt;Q37,VLOOKUP(F37,'2. AWARDS'!$C$9:$O$35,9,FALSE)&lt;&gt;0),VLOOKUP(F37,'2. AWARDS'!$C$9:$O$35,9,FALSE)*(1+P37),IF(AND(E37='2. AWARDS'!G$7,O37&gt;N37,O37&lt;Q37,VLOOKUP(F37,'2. AWARDS'!$C$9:$O$35,10,FALSE)&lt;&gt;0),VLOOKUP(F37,'2. AWARDS'!$C$9:$O$35,10,FALSE)*(1+P37),IF(AND(E37='2. AWARDS'!H$7,O37&gt;N37,O37&lt;Q37,VLOOKUP(F37,'2. AWARDS'!$C$9:$O$35,11,FALSE)&lt;&gt;0),VLOOKUP(F37,'2. AWARDS'!$C$9:$O$35,11,FALSE)*(1+P37),IF(AND(E37='2. AWARDS'!I$7,O37&gt;N37,O37&lt;Q37,VLOOKUP(F37,'2. AWARDS'!$C$9:$O$35,12,FALSE)&lt;&gt;0),VLOOKUP(F37,'2. AWARDS'!$C$9:$O$35,12,FALSE)*(1+P37),IF(AND(E37='2. AWARDS'!J$7,O37&gt;N37,O37&lt;Q37,VLOOKUP(F37,'2. AWARDS'!$C$9:$O$35,13,FALSE)&lt;&gt;0),VLOOKUP(F37,'2. AWARDS'!$C$9:$O$35,13,FALSE)*(1+P37),X37*(1+P37))))))))))))))))))))))))))))))))))</f>
        <v>#N/A</v>
      </c>
      <c r="AA37" s="661" t="e">
        <f t="shared" si="2"/>
        <v>#N/A</v>
      </c>
      <c r="AB37" s="683"/>
      <c r="AC37" s="774"/>
      <c r="AD37" s="774"/>
      <c r="AE37" s="774"/>
      <c r="AF37" s="781">
        <f t="shared" si="9"/>
        <v>0</v>
      </c>
      <c r="AG37" s="781" t="e">
        <f>HLOOKUP(E37,'2. AWARDS'!$F$7:$J$40,32,FALSE)/5*HLOOKUP(E37,'2. AWARDS'!$F$7:$J$40,31,FALSE)*MAX(W37:AA37)*M37*HLOOKUP(E37,'2. AWARDS'!$F$7:$J$40,34,FALSE)*L37/(38*2)</f>
        <v>#N/A</v>
      </c>
      <c r="AH37" s="783" t="e">
        <f>((HLOOKUP(E37,'2. AWARDS'!$F$7:$J$42,36,FALSE)/HLOOKUP(E37,'2. AWARDS'!$F$7:$J$42,35,FALSE)*HLOOKUP(E37,'2. AWARDS'!$F$7:$J$45,39,FALSE))/(HLOOKUP(E37,'2. AWARDS'!$F$7:$J$45,31,FALSE)*2)*L37*M37*HLOOKUP(E37,'2. AWARDS'!$F$7:$J$45,31,FALSE)*MAX(W37:AA37))</f>
        <v>#N/A</v>
      </c>
      <c r="AI37" s="474"/>
      <c r="AJ37" s="804"/>
      <c r="AK37" s="801"/>
      <c r="AL37" s="801"/>
      <c r="AM37" s="802"/>
      <c r="AN37" s="805"/>
      <c r="AO37" s="836">
        <f>IF(AJ37="YES",HLOOKUP(E37,'2. AWARDS'!$F$7:$J$38,32,FALSE)/5*HLOOKUP(E37,'2. AWARDS'!$F$7:$J$37,31,FALSE)*L37/(HLOOKUP(E37,'2. AWARDS'!$F$7:$J$37,31,FALSE)*2)*M37*MAX(W37:AA37)*(1+HLOOKUP(E37,'2. AWARDS'!$F$7:$J$43,37,FALSE))*(1-AM37),0)</f>
        <v>0</v>
      </c>
      <c r="AP37" s="836">
        <f>IF(AK37="YES",HLOOKUP(E37,'2. AWARDS'!$F$7:$J$39,33,FALSE)/5*HLOOKUP(E37,'2. AWARDS'!$F$7:$J$37,31,FALSE)*L37/(HLOOKUP(E37,'2. AWARDS'!$F$7:$J$37,31,FALSE)*2)*M37*MAX(W37:AA37)*(1+HLOOKUP(E37,'2. AWARDS'!$F$7:$J$43,37,FALSE))*(1-AM37),0)</f>
        <v>0</v>
      </c>
      <c r="AQ37" s="838">
        <f>IF(AL37="YES",HLOOKUP(E37,'2. AWARDS'!$F$7:$J$47,40,FALSE)/5*HLOOKUP(E37,'2. AWARDS'!$F$7:$J$37,31,FALSE)*L37/(HLOOKUP(E37,'2. AWARDS'!$F$7:$J$37,31,FALSE)*2)*M37*MAX(W37:AA37)*(1+HLOOKUP(E37,'2. AWARDS'!$F$7:$J$43,37,FALSE))*(1-AM37),0)</f>
        <v>0</v>
      </c>
      <c r="AR37" s="839">
        <f>(IF(AJ37="YES",HLOOKUP(E37,'2. AWARDS'!$F$7:$J$39,32,FALSE),0)+IF(AK37="YES",HLOOKUP(E37,'2. AWARDS'!$F$7:$J$39,33,FALSE),0)+IF(AL37="YES",HLOOKUP(E37,'2. AWARDS'!$F$7:$J$47,40,FALSE),0))*L37/76*7.6*AM37*AN37*M37</f>
        <v>0</v>
      </c>
      <c r="AS37" s="683"/>
      <c r="AT37" s="215">
        <f>'1. KEY DATA'!J$29</f>
        <v>0</v>
      </c>
      <c r="AU37" s="218">
        <f>'1. KEY DATA'!J$30</f>
        <v>0.09</v>
      </c>
      <c r="AV37" s="502"/>
      <c r="AW37" s="1104">
        <f t="shared" si="3"/>
        <v>0</v>
      </c>
      <c r="AX37" s="176"/>
      <c r="AY37" s="173"/>
      <c r="AZ37" s="452">
        <f t="shared" si="4"/>
        <v>0</v>
      </c>
      <c r="BA37" s="405" t="str">
        <f t="shared" si="11"/>
        <v>-</v>
      </c>
      <c r="BB37" s="406" t="str">
        <f t="shared" si="11"/>
        <v>-</v>
      </c>
      <c r="BC37" s="406" t="str">
        <f t="shared" si="11"/>
        <v>-</v>
      </c>
      <c r="BD37" s="406" t="str">
        <f t="shared" si="11"/>
        <v>-</v>
      </c>
      <c r="BE37" s="406" t="str">
        <f t="shared" si="11"/>
        <v>-</v>
      </c>
      <c r="BF37" s="406" t="str">
        <f t="shared" si="11"/>
        <v>-</v>
      </c>
      <c r="BG37" s="406" t="str">
        <f t="shared" si="11"/>
        <v>-</v>
      </c>
      <c r="BH37" s="406" t="str">
        <f t="shared" si="11"/>
        <v>-</v>
      </c>
      <c r="BI37" s="406" t="str">
        <f t="shared" si="11"/>
        <v>-</v>
      </c>
      <c r="BJ37" s="406" t="str">
        <f t="shared" si="11"/>
        <v>-</v>
      </c>
      <c r="BK37" s="406" t="str">
        <f t="shared" si="11"/>
        <v>-</v>
      </c>
      <c r="BL37" s="406" t="str">
        <f t="shared" si="11"/>
        <v>-</v>
      </c>
      <c r="BM37" s="406" t="str">
        <f t="shared" si="11"/>
        <v>-</v>
      </c>
      <c r="BN37" s="406" t="str">
        <f t="shared" si="11"/>
        <v>-</v>
      </c>
      <c r="BO37" s="407" t="str">
        <f t="shared" si="11"/>
        <v>-</v>
      </c>
      <c r="BP37" s="1539"/>
    </row>
    <row r="38" spans="1:69" s="9" customFormat="1">
      <c r="B38" s="505"/>
      <c r="C38" s="80"/>
      <c r="D38" s="699">
        <f t="shared" si="1"/>
        <v>0</v>
      </c>
      <c r="E38" s="626"/>
      <c r="F38" s="652"/>
      <c r="G38" s="702"/>
      <c r="H38" s="693"/>
      <c r="I38" s="694"/>
      <c r="J38" s="1113"/>
      <c r="K38" s="1114"/>
      <c r="L38" s="763"/>
      <c r="M38" s="689"/>
      <c r="N38" s="629"/>
      <c r="O38" s="629"/>
      <c r="P38" s="638">
        <f t="shared" si="6"/>
        <v>0.03</v>
      </c>
      <c r="Q38" s="629"/>
      <c r="R38" s="673" t="str">
        <f t="shared" si="7"/>
        <v>-</v>
      </c>
      <c r="S38" s="649"/>
      <c r="T38" s="647"/>
      <c r="U38" s="827"/>
      <c r="V38" s="670"/>
      <c r="W38" s="798">
        <f t="shared" si="8"/>
        <v>0</v>
      </c>
      <c r="X38" s="656">
        <f>IF(OR(E38=0,F38=0),0,IF(E38='2. AWARDS'!F$7,VLOOKUP(F38,'2. AWARDS'!$C$9:$F$35,4,FALSE),IF(E38='2. AWARDS'!G$7,VLOOKUP(F38,'2. AWARDS'!$C$9:$G$35,5,FALSE),IF(E38='2. AWARDS'!H$7,VLOOKUP(F38,'2. AWARDS'!$C$9:$H$35,6,FALSE),IF(E38='2. AWARDS'!I$7,VLOOKUP(F38,'2. AWARDS'!$C$9:$I$35,7,FALSE),VLOOKUP(F38,'2. AWARDS'!$C$9:$J$35,8,FALSE))))))</f>
        <v>0</v>
      </c>
      <c r="Y38" s="657">
        <f>IF(OR(E38=0,F38=0),0,IF(AND(N38=0,E38='2. AWARDS'!F$7,VLOOKUP(F38,'2. AWARDS'!$C$9:$O$35,9,FALSE)&lt;&gt;0),"date missing",IF(AND(N38=0,E38='2. AWARDS'!G$7,VLOOKUP(F38,'2. AWARDS'!$C$9:$O$35,10,FALSE)&lt;&gt;0),"date missing",IF(AND(N38=0,E38='2. AWARDS'!H$7,VLOOKUP(F38,'2. AWARDS'!$C$9:$O$35,11,FALSE)&lt;&gt;0),"date missing",IF(AND(N38=0,E38='2. AWARDS'!I$7,VLOOKUP(F38,'2. AWARDS'!$C$9:$O$35,12,FALSE)&lt;&gt;0),"date missing",IF(AND(N38=0,E38='2. AWARDS'!J$7,VLOOKUP(F38,'2. AWARDS'!$C$9:$O$35,13,FALSE)&lt;&gt;0),"date missing",IF(N38=0,0,IF(OR(N38=MIN(O38,Q38),AND(N38&lt;O38,N38&lt;Q38,N38&gt;0)),IF(E38='2. AWARDS'!F$7,VLOOKUP(F38,'2. AWARDS'!$C$9:$O$35,9,FALSE),IF(E38='2. AWARDS'!G$7,VLOOKUP(F38,'2. AWARDS'!$C$9:$O$35,10,FALSE),IF(E38='2. AWARDS'!H$7,VLOOKUP(F38,'2. AWARDS'!$C$9:$O$35,11,FALSE),IF(E38='2. AWARDS'!I$7,VLOOKUP(F38,'2. AWARDS'!$C$9:$O$35,12,FALSE),IF(E38='2. AWARDS'!J$7,VLOOKUP(F38,'2. AWARDS'!$C$9:$O$35,13,FALSE)))))),IF(AND(N38&gt;O38,N38&lt;Q38),IF(E38='2. AWARDS'!F$7,(1+P38)*VLOOKUP(F38,'2. AWARDS'!$C$9:$O$35,9,FALSE),IF(E38='2. AWARDS'!G$7,(1+P38)*VLOOKUP(F38,'2. AWARDS'!$C$9:$O$35,10,FALSE),IF(E38='2. AWARDS'!H$7,(1+P38)*VLOOKUP(F38,'2. AWARDS'!$C$9:$O$35,11,FALSE),IF(E38='2. AWARDS'!I$7,(1+P38)*VLOOKUP(F38,'2. AWARDS'!$C$9:$O$35,12,FALSE),IF(E38='2. AWARDS'!J$7,(1+P38)*VLOOKUP(F38,'2. AWARDS'!$C$9:$O$35,13,FALSE)))))),IF(AND(N38&lt;O38,N38&gt;Q38),IF(E38='2. AWARDS'!F$7,(1+(R38/9))*VLOOKUP(F38,'2. AWARDS'!$C$9:$O$35,9,FALSE),IF(E38='2. AWARDS'!G$7,(1+(R38/9))*VLOOKUP(F38,'2. AWARDS'!$C$9:$O$35,10,FALSE),IF(E38='2. AWARDS'!H$7,(1+(R38/9))*VLOOKUP(F38,'2. AWARDS'!$C$9:$O$35,11,FALSE),IF(E38='2. AWARDS'!I$7,(1+(R38/9))*VLOOKUP(F38,'2. AWARDS'!$C$9:$O$35,12,FALSE),IF(E38='2. AWARDS'!J$7,(1+(R38/9))*VLOOKUP(F38,'2. AWARDS'!$C$9:$O$35,13,FALSE)))))),IF(OR(N38=MAX(O38,Q38),AND(N38&gt;O38,N38&gt;Q38)),IF(E38='2. AWARDS'!F$7,((1+(R38/9))*(1+P38))*VLOOKUP(F38,'2. AWARDS'!$C$9:$O$35,9,FALSE),IF(E38='2. AWARDS'!G$7,((1+(R38/9))*(1+P38))*VLOOKUP(F38,'2. AWARDS'!$C$9:$O$35,10,FALSE),IF(E38='2. AWARDS'!H$7,((1+(R38/9))*(1+P38))*VLOOKUP(F38,'2. AWARDS'!$C$9:$O$35,11,FALSE),IF(E38='2. AWARDS'!I$7,((1+(R38/9))*(1+P38))*VLOOKUP(F38,'2. AWARDS'!$C$9:$O$35,12,FALSE),IF(E38='2. AWARDS'!J$7,((1+(R38/9))*(1+P38))*VLOOKUP(F38,'2. AWARDS'!$C$9:$O$35,13,FALSE)))))),"?")))))))))))</f>
        <v>0</v>
      </c>
      <c r="Z38" s="656" t="e">
        <f>IF(AND(E38='2. AWARDS'!F$7,O38&gt;N38,O38&gt;Q38,VLOOKUP(F38,'2. AWARDS'!$C$9:$O$35,9,FALSE)&lt;&gt;0),VLOOKUP(F38,'2. AWARDS'!$C$9:$O$35,9,FALSE)*(1+P38)*(1+(R38/9)),IF(AND(E38='2. AWARDS'!F$7,O38&gt;N38,O38&gt;Q38,VLOOKUP(F38,'2. AWARDS'!$C$9:$O$35,9,FALSE)=0),X38*(1+P38)*(1+(R38/9)),IF(AND(E38='2. AWARDS'!G$7,O38&gt;N38,O38&gt;Q38,VLOOKUP(F38,'2. AWARDS'!$C$9:$O$35,10,FALSE)&lt;&gt;0),VLOOKUP(F38,'2. AWARDS'!$C$9:$O$35,10,FALSE)*(1+P38)*(1+(R38/9)),IF(AND(E38='2. AWARDS'!G$7,O38&gt;N38,O38&gt;Q38,VLOOKUP(F38,'2. AWARDS'!$C$9:$O$35,10,FALSE)=0),X38*(1+P38)*(1+(R38/9)),IF(AND(E38='2. AWARDS'!H$7,O38&gt;N38,O38&gt;Q38,VLOOKUP(F38,'2. AWARDS'!$C$9:$O$35,11,FALSE)&lt;&gt;0),VLOOKUP(F38,'2. AWARDS'!$C$9:$O$35,11,FALSE)*(1+P38)*(1+(R38/9)),IF(AND(E38='2. AWARDS'!H$7,O38&gt;N38,O38&gt;Q38,VLOOKUP(F38,'2. AWARDS'!$C$9:$O$35,11,FALSE)=0),X38*(1+P38)*(1+(R38/9)),IF(AND(E38='2. AWARDS'!I$7,O38&gt;N38,O38&gt;Q38,VLOOKUP(F38,'2. AWARDS'!$C$9:$O$35,12,FALSE)&lt;&gt;0),VLOOKUP(F38,'2. AWARDS'!$C$9:$O$35,12,FALSE)*(1+P38)*(1+(R38/9)),IF(AND(E38='2. AWARDS'!I$7,O38&gt;N38,O38&gt;Q38,VLOOKUP(F38,'2. AWARDS'!$C$9:$O$35,12,FALSE)=0),X38*(1+P38)*(1+(R38/9)),IF(AND(E38='2. AWARDS'!J$7,O38&gt;N38,O38&gt;Q38,VLOOKUP(F38,'2. AWARDS'!$C$9:$O$35,13,FALSE)&lt;&gt;0),VLOOKUP(F38,'2. AWARDS'!$C$9:$O$35,13,FALSE)*(1+P38)*(1+(R38/9)),IF(AND(E38='2. AWARDS'!J$7,O38&gt;N38,O38&gt;Q38,VLOOKUP(F38,'2. AWARDS'!$C$9:$O$35,13,FALSE)=0),X38*(1+P38)*(1+(R38/9)),IF(AND(O38&lt;N38,O38&gt;Q38),X38*(1+P38)*(1+(R38/9)),IF(AND(E38='2. AWARDS'!F$7,O38=MAX(N38,Q38),VLOOKUP(F38,'2. AWARDS'!$C$9:$O$35,9,FALSE)&lt;&gt;0),VLOOKUP(F38,'2. AWARDS'!$C$9:$O$35,9,FALSE)*(1+P38)*(1+(R38/9)),IF(AND(E38='2. AWARDS'!F$7,O38=MAX(N38,Q38),VLOOKUP(F38,'2. AWARDS'!$C$9:$O$35,9,FALSE)=0),X38*(1+P38)*(1+(R38/9)),IF(AND(E38='2. AWARDS'!G$7,O38=MAX(N38,Q38),VLOOKUP(F38,'2. AWARDS'!$C$9:$O$35,10,FALSE)&lt;&gt;0),VLOOKUP(F38,'2. AWARDS'!$C$9:$O$35,10,FALSE)*(1+P38)*(1+(R38/9)),IF(AND(E38='2. AWARDS'!G$7,O38=MAX(N38,Q38),VLOOKUP(F38,'2. AWARDS'!$C$9:$O$35,10,FALSE)=0),X38*(1+P38)*(1+(R38/9)),IF(AND(E38='2. AWARDS'!H$7,O38=MAX(N38,Q38),VLOOKUP(F38,'2. AWARDS'!$C$9:$O$35,11,FALSE)&lt;&gt;0),VLOOKUP(F38,'2. AWARDS'!$C$9:$O$35,11,FALSE)*(1+P38)*(1+(R38/9)),IF(AND(E38='2. AWARDS'!H$7,O38=MAX(N38,Q38),VLOOKUP(F38,'2. AWARDS'!$C$9:$O$35,11,FALSE)=0),X38*(1+P38)*(1+(R38/9)),IF(AND(E38='2. AWARDS'!I$7,O38=MAX(N38,Q38),VLOOKUP(F38,'2. AWARDS'!$C$9:$O$35,12,FALSE)&lt;&gt;0),VLOOKUP(F38,'2. AWARDS'!$C$9:$O$35,12,FALSE)*(1+P38)*(1+(R38/9)),IF(AND(E38='2. AWARDS'!I$7,O38=MAX(N38,Q38),VLOOKUP(F38,'2. AWARDS'!$C$9:$O$35,12,FALSE)=0),X38*(1+P38)*(1+(R38/9)),IF(AND(E38='2. AWARDS'!J$7,O38=MAX(N38,Q38),VLOOKUP(F38,'2. AWARDS'!$C$9:$O$35,13,FALSE)&lt;&gt;0),VLOOKUP(F38,'2. AWARDS'!$C$9:$O$35,13,FALSE)*(1+P38)*(1+(R38/9)),IF(AND(E38='2. AWARDS'!J$7,O38=MAX(N38,Q38),VLOOKUP(F38,'2. AWARDS'!$C$9:$O$35,13,FALSE)=0),X38*(1+P38)*(1+(R38/9)),IF(AND(O38&lt;N38,O38&lt;Q38),X38*(1+P38),IF(AND(O38=N38,N38&lt;Q38,E38='2. AWARDS'!F$7),VLOOKUP(F38,'2. AWARDS'!$C$9:$O$35,9,FALSE)*(1+P38),IF(AND(O38=N38,N38&lt;Q38,E38='2. AWARDS'!G$7),VLOOKUP(F38,'2. AWARDS'!$C$9:$O$35,10,FALSE)*(1+P38),IF(AND(O38=N38,N38&lt;Q38,E38='2. AWARDS'!H$7),VLOOKUP(F38,'2. AWARDS'!$C$9:$O$35,11,FALSE)*(1+P38),IF(AND(O38=N38,N38&lt;Q38,E38='2. AWARDS'!I$7),VLOOKUP(F38,'2. AWARDS'!$C$9:$O$35,12,FALSE)*(1+P38),IF(AND(O38=N38,N38&lt;Q38,E38='2. AWARDS'!J$7),VLOOKUP(F38,'2. AWARDS'!$C$9:$O$35,13,FALSE)*(1+P38),IF(AND(O38=Q38,N38&gt;Q38),X38*(1+P38)*(1+(R38/9)),IF(AND(E38='2. AWARDS'!F$7,O38&gt;N38,O38&lt;Q38,VLOOKUP(F38,'2. AWARDS'!$C$9:$O$35,9,FALSE)&lt;&gt;0),VLOOKUP(F38,'2. AWARDS'!$C$9:$O$35,9,FALSE)*(1+P38),IF(AND(E38='2. AWARDS'!G$7,O38&gt;N38,O38&lt;Q38,VLOOKUP(F38,'2. AWARDS'!$C$9:$O$35,10,FALSE)&lt;&gt;0),VLOOKUP(F38,'2. AWARDS'!$C$9:$O$35,10,FALSE)*(1+P38),IF(AND(E38='2. AWARDS'!H$7,O38&gt;N38,O38&lt;Q38,VLOOKUP(F38,'2. AWARDS'!$C$9:$O$35,11,FALSE)&lt;&gt;0),VLOOKUP(F38,'2. AWARDS'!$C$9:$O$35,11,FALSE)*(1+P38),IF(AND(E38='2. AWARDS'!I$7,O38&gt;N38,O38&lt;Q38,VLOOKUP(F38,'2. AWARDS'!$C$9:$O$35,12,FALSE)&lt;&gt;0),VLOOKUP(F38,'2. AWARDS'!$C$9:$O$35,12,FALSE)*(1+P38),IF(AND(E38='2. AWARDS'!J$7,O38&gt;N38,O38&lt;Q38,VLOOKUP(F38,'2. AWARDS'!$C$9:$O$35,13,FALSE)&lt;&gt;0),VLOOKUP(F38,'2. AWARDS'!$C$9:$O$35,13,FALSE)*(1+P38),X38*(1+P38))))))))))))))))))))))))))))))))))</f>
        <v>#N/A</v>
      </c>
      <c r="AA38" s="661" t="e">
        <f t="shared" si="2"/>
        <v>#N/A</v>
      </c>
      <c r="AB38" s="683"/>
      <c r="AC38" s="774"/>
      <c r="AD38" s="774"/>
      <c r="AE38" s="774"/>
      <c r="AF38" s="781">
        <f t="shared" si="9"/>
        <v>0</v>
      </c>
      <c r="AG38" s="781" t="e">
        <f>HLOOKUP(E38,'2. AWARDS'!$F$7:$J$40,32,FALSE)/5*HLOOKUP(E38,'2. AWARDS'!$F$7:$J$40,31,FALSE)*MAX(W38:AA38)*M38*HLOOKUP(E38,'2. AWARDS'!$F$7:$J$40,34,FALSE)*L38/(38*2)</f>
        <v>#N/A</v>
      </c>
      <c r="AH38" s="783" t="e">
        <f>((HLOOKUP(E38,'2. AWARDS'!$F$7:$J$42,36,FALSE)/HLOOKUP(E38,'2. AWARDS'!$F$7:$J$42,35,FALSE)*HLOOKUP(E38,'2. AWARDS'!$F$7:$J$45,39,FALSE))/(HLOOKUP(E38,'2. AWARDS'!$F$7:$J$45,31,FALSE)*2)*L38*M38*HLOOKUP(E38,'2. AWARDS'!$F$7:$J$45,31,FALSE)*MAX(W38:AA38))</f>
        <v>#N/A</v>
      </c>
      <c r="AI38" s="474"/>
      <c r="AJ38" s="804"/>
      <c r="AK38" s="801"/>
      <c r="AL38" s="801"/>
      <c r="AM38" s="802"/>
      <c r="AN38" s="805"/>
      <c r="AO38" s="836">
        <f>IF(AJ38="YES",HLOOKUP(E38,'2. AWARDS'!$F$7:$J$38,32,FALSE)/5*HLOOKUP(E38,'2. AWARDS'!$F$7:$J$37,31,FALSE)*L38/(HLOOKUP(E38,'2. AWARDS'!$F$7:$J$37,31,FALSE)*2)*M38*MAX(W38:AA38)*(1+HLOOKUP(E38,'2. AWARDS'!$F$7:$J$43,37,FALSE))*(1-AM38),0)</f>
        <v>0</v>
      </c>
      <c r="AP38" s="836">
        <f>IF(AK38="YES",HLOOKUP(E38,'2. AWARDS'!$F$7:$J$39,33,FALSE)/5*HLOOKUP(E38,'2. AWARDS'!$F$7:$J$37,31,FALSE)*L38/(HLOOKUP(E38,'2. AWARDS'!$F$7:$J$37,31,FALSE)*2)*M38*MAX(W38:AA38)*(1+HLOOKUP(E38,'2. AWARDS'!$F$7:$J$43,37,FALSE))*(1-AM38),0)</f>
        <v>0</v>
      </c>
      <c r="AQ38" s="838">
        <f>IF(AL38="YES",HLOOKUP(E38,'2. AWARDS'!$F$7:$J$47,40,FALSE)/5*HLOOKUP(E38,'2. AWARDS'!$F$7:$J$37,31,FALSE)*L38/(HLOOKUP(E38,'2. AWARDS'!$F$7:$J$37,31,FALSE)*2)*M38*MAX(W38:AA38)*(1+HLOOKUP(E38,'2. AWARDS'!$F$7:$J$43,37,FALSE))*(1-AM38),0)</f>
        <v>0</v>
      </c>
      <c r="AR38" s="839">
        <f>(IF(AJ38="YES",HLOOKUP(E38,'2. AWARDS'!$F$7:$J$39,32,FALSE),0)+IF(AK38="YES",HLOOKUP(E38,'2. AWARDS'!$F$7:$J$39,33,FALSE),0)+IF(AL38="YES",HLOOKUP(E38,'2. AWARDS'!$F$7:$J$47,40,FALSE),0))*L38/76*7.6*AM38*AN38*M38</f>
        <v>0</v>
      </c>
      <c r="AS38" s="683"/>
      <c r="AT38" s="215">
        <f>'1. KEY DATA'!J$29</f>
        <v>0</v>
      </c>
      <c r="AU38" s="218">
        <f>'1. KEY DATA'!J$30</f>
        <v>0.09</v>
      </c>
      <c r="AV38" s="502"/>
      <c r="AW38" s="1104">
        <f t="shared" si="3"/>
        <v>0</v>
      </c>
      <c r="AX38" s="176"/>
      <c r="AY38" s="173"/>
      <c r="AZ38" s="452">
        <f t="shared" si="4"/>
        <v>0</v>
      </c>
      <c r="BA38" s="405" t="str">
        <f t="shared" si="11"/>
        <v>-</v>
      </c>
      <c r="BB38" s="406" t="str">
        <f t="shared" si="11"/>
        <v>-</v>
      </c>
      <c r="BC38" s="406" t="str">
        <f t="shared" si="11"/>
        <v>-</v>
      </c>
      <c r="BD38" s="406" t="str">
        <f t="shared" si="11"/>
        <v>-</v>
      </c>
      <c r="BE38" s="406" t="str">
        <f t="shared" si="11"/>
        <v>-</v>
      </c>
      <c r="BF38" s="406" t="str">
        <f t="shared" si="11"/>
        <v>-</v>
      </c>
      <c r="BG38" s="406" t="str">
        <f t="shared" si="11"/>
        <v>-</v>
      </c>
      <c r="BH38" s="406" t="str">
        <f t="shared" si="11"/>
        <v>-</v>
      </c>
      <c r="BI38" s="406" t="str">
        <f t="shared" si="11"/>
        <v>-</v>
      </c>
      <c r="BJ38" s="406" t="str">
        <f t="shared" si="11"/>
        <v>-</v>
      </c>
      <c r="BK38" s="406" t="str">
        <f t="shared" si="11"/>
        <v>-</v>
      </c>
      <c r="BL38" s="406" t="str">
        <f t="shared" si="11"/>
        <v>-</v>
      </c>
      <c r="BM38" s="406" t="str">
        <f t="shared" si="11"/>
        <v>-</v>
      </c>
      <c r="BN38" s="406" t="str">
        <f t="shared" si="11"/>
        <v>-</v>
      </c>
      <c r="BO38" s="407" t="str">
        <f t="shared" si="11"/>
        <v>-</v>
      </c>
      <c r="BP38" s="1539"/>
    </row>
    <row r="39" spans="1:69" s="9" customFormat="1">
      <c r="B39" s="505"/>
      <c r="C39" s="80"/>
      <c r="D39" s="699">
        <f t="shared" si="1"/>
        <v>0</v>
      </c>
      <c r="E39" s="626"/>
      <c r="F39" s="652"/>
      <c r="G39" s="702"/>
      <c r="H39" s="693"/>
      <c r="I39" s="694"/>
      <c r="J39" s="1113"/>
      <c r="K39" s="1114"/>
      <c r="L39" s="763"/>
      <c r="M39" s="689"/>
      <c r="N39" s="629"/>
      <c r="O39" s="629"/>
      <c r="P39" s="638">
        <f t="shared" si="6"/>
        <v>0.03</v>
      </c>
      <c r="Q39" s="629"/>
      <c r="R39" s="673" t="str">
        <f t="shared" si="7"/>
        <v>-</v>
      </c>
      <c r="S39" s="649"/>
      <c r="T39" s="647"/>
      <c r="U39" s="827"/>
      <c r="V39" s="670"/>
      <c r="W39" s="798">
        <f t="shared" si="8"/>
        <v>0</v>
      </c>
      <c r="X39" s="656">
        <f>IF(OR(E39=0,F39=0),0,IF(E39='2. AWARDS'!F$7,VLOOKUP(F39,'2. AWARDS'!$C$9:$F$35,4,FALSE),IF(E39='2. AWARDS'!G$7,VLOOKUP(F39,'2. AWARDS'!$C$9:$G$35,5,FALSE),IF(E39='2. AWARDS'!H$7,VLOOKUP(F39,'2. AWARDS'!$C$9:$H$35,6,FALSE),IF(E39='2. AWARDS'!I$7,VLOOKUP(F39,'2. AWARDS'!$C$9:$I$35,7,FALSE),VLOOKUP(F39,'2. AWARDS'!$C$9:$J$35,8,FALSE))))))</f>
        <v>0</v>
      </c>
      <c r="Y39" s="657">
        <f>IF(OR(E39=0,F39=0),0,IF(AND(N39=0,E39='2. AWARDS'!F$7,VLOOKUP(F39,'2. AWARDS'!$C$9:$O$35,9,FALSE)&lt;&gt;0),"date missing",IF(AND(N39=0,E39='2. AWARDS'!G$7,VLOOKUP(F39,'2. AWARDS'!$C$9:$O$35,10,FALSE)&lt;&gt;0),"date missing",IF(AND(N39=0,E39='2. AWARDS'!H$7,VLOOKUP(F39,'2. AWARDS'!$C$9:$O$35,11,FALSE)&lt;&gt;0),"date missing",IF(AND(N39=0,E39='2. AWARDS'!I$7,VLOOKUP(F39,'2. AWARDS'!$C$9:$O$35,12,FALSE)&lt;&gt;0),"date missing",IF(AND(N39=0,E39='2. AWARDS'!J$7,VLOOKUP(F39,'2. AWARDS'!$C$9:$O$35,13,FALSE)&lt;&gt;0),"date missing",IF(N39=0,0,IF(OR(N39=MIN(O39,Q39),AND(N39&lt;O39,N39&lt;Q39,N39&gt;0)),IF(E39='2. AWARDS'!F$7,VLOOKUP(F39,'2. AWARDS'!$C$9:$O$35,9,FALSE),IF(E39='2. AWARDS'!G$7,VLOOKUP(F39,'2. AWARDS'!$C$9:$O$35,10,FALSE),IF(E39='2. AWARDS'!H$7,VLOOKUP(F39,'2. AWARDS'!$C$9:$O$35,11,FALSE),IF(E39='2. AWARDS'!I$7,VLOOKUP(F39,'2. AWARDS'!$C$9:$O$35,12,FALSE),IF(E39='2. AWARDS'!J$7,VLOOKUP(F39,'2. AWARDS'!$C$9:$O$35,13,FALSE)))))),IF(AND(N39&gt;O39,N39&lt;Q39),IF(E39='2. AWARDS'!F$7,(1+P39)*VLOOKUP(F39,'2. AWARDS'!$C$9:$O$35,9,FALSE),IF(E39='2. AWARDS'!G$7,(1+P39)*VLOOKUP(F39,'2. AWARDS'!$C$9:$O$35,10,FALSE),IF(E39='2. AWARDS'!H$7,(1+P39)*VLOOKUP(F39,'2. AWARDS'!$C$9:$O$35,11,FALSE),IF(E39='2. AWARDS'!I$7,(1+P39)*VLOOKUP(F39,'2. AWARDS'!$C$9:$O$35,12,FALSE),IF(E39='2. AWARDS'!J$7,(1+P39)*VLOOKUP(F39,'2. AWARDS'!$C$9:$O$35,13,FALSE)))))),IF(AND(N39&lt;O39,N39&gt;Q39),IF(E39='2. AWARDS'!F$7,(1+(R39/9))*VLOOKUP(F39,'2. AWARDS'!$C$9:$O$35,9,FALSE),IF(E39='2. AWARDS'!G$7,(1+(R39/9))*VLOOKUP(F39,'2. AWARDS'!$C$9:$O$35,10,FALSE),IF(E39='2. AWARDS'!H$7,(1+(R39/9))*VLOOKUP(F39,'2. AWARDS'!$C$9:$O$35,11,FALSE),IF(E39='2. AWARDS'!I$7,(1+(R39/9))*VLOOKUP(F39,'2. AWARDS'!$C$9:$O$35,12,FALSE),IF(E39='2. AWARDS'!J$7,(1+(R39/9))*VLOOKUP(F39,'2. AWARDS'!$C$9:$O$35,13,FALSE)))))),IF(OR(N39=MAX(O39,Q39),AND(N39&gt;O39,N39&gt;Q39)),IF(E39='2. AWARDS'!F$7,((1+(R39/9))*(1+P39))*VLOOKUP(F39,'2. AWARDS'!$C$9:$O$35,9,FALSE),IF(E39='2. AWARDS'!G$7,((1+(R39/9))*(1+P39))*VLOOKUP(F39,'2. AWARDS'!$C$9:$O$35,10,FALSE),IF(E39='2. AWARDS'!H$7,((1+(R39/9))*(1+P39))*VLOOKUP(F39,'2. AWARDS'!$C$9:$O$35,11,FALSE),IF(E39='2. AWARDS'!I$7,((1+(R39/9))*(1+P39))*VLOOKUP(F39,'2. AWARDS'!$C$9:$O$35,12,FALSE),IF(E39='2. AWARDS'!J$7,((1+(R39/9))*(1+P39))*VLOOKUP(F39,'2. AWARDS'!$C$9:$O$35,13,FALSE)))))),"?")))))))))))</f>
        <v>0</v>
      </c>
      <c r="Z39" s="656" t="e">
        <f>IF(AND(E39='2. AWARDS'!F$7,O39&gt;N39,O39&gt;Q39,VLOOKUP(F39,'2. AWARDS'!$C$9:$O$35,9,FALSE)&lt;&gt;0),VLOOKUP(F39,'2. AWARDS'!$C$9:$O$35,9,FALSE)*(1+P39)*(1+(R39/9)),IF(AND(E39='2. AWARDS'!F$7,O39&gt;N39,O39&gt;Q39,VLOOKUP(F39,'2. AWARDS'!$C$9:$O$35,9,FALSE)=0),X39*(1+P39)*(1+(R39/9)),IF(AND(E39='2. AWARDS'!G$7,O39&gt;N39,O39&gt;Q39,VLOOKUP(F39,'2. AWARDS'!$C$9:$O$35,10,FALSE)&lt;&gt;0),VLOOKUP(F39,'2. AWARDS'!$C$9:$O$35,10,FALSE)*(1+P39)*(1+(R39/9)),IF(AND(E39='2. AWARDS'!G$7,O39&gt;N39,O39&gt;Q39,VLOOKUP(F39,'2. AWARDS'!$C$9:$O$35,10,FALSE)=0),X39*(1+P39)*(1+(R39/9)),IF(AND(E39='2. AWARDS'!H$7,O39&gt;N39,O39&gt;Q39,VLOOKUP(F39,'2. AWARDS'!$C$9:$O$35,11,FALSE)&lt;&gt;0),VLOOKUP(F39,'2. AWARDS'!$C$9:$O$35,11,FALSE)*(1+P39)*(1+(R39/9)),IF(AND(E39='2. AWARDS'!H$7,O39&gt;N39,O39&gt;Q39,VLOOKUP(F39,'2. AWARDS'!$C$9:$O$35,11,FALSE)=0),X39*(1+P39)*(1+(R39/9)),IF(AND(E39='2. AWARDS'!I$7,O39&gt;N39,O39&gt;Q39,VLOOKUP(F39,'2. AWARDS'!$C$9:$O$35,12,FALSE)&lt;&gt;0),VLOOKUP(F39,'2. AWARDS'!$C$9:$O$35,12,FALSE)*(1+P39)*(1+(R39/9)),IF(AND(E39='2. AWARDS'!I$7,O39&gt;N39,O39&gt;Q39,VLOOKUP(F39,'2. AWARDS'!$C$9:$O$35,12,FALSE)=0),X39*(1+P39)*(1+(R39/9)),IF(AND(E39='2. AWARDS'!J$7,O39&gt;N39,O39&gt;Q39,VLOOKUP(F39,'2. AWARDS'!$C$9:$O$35,13,FALSE)&lt;&gt;0),VLOOKUP(F39,'2. AWARDS'!$C$9:$O$35,13,FALSE)*(1+P39)*(1+(R39/9)),IF(AND(E39='2. AWARDS'!J$7,O39&gt;N39,O39&gt;Q39,VLOOKUP(F39,'2. AWARDS'!$C$9:$O$35,13,FALSE)=0),X39*(1+P39)*(1+(R39/9)),IF(AND(O39&lt;N39,O39&gt;Q39),X39*(1+P39)*(1+(R39/9)),IF(AND(E39='2. AWARDS'!F$7,O39=MAX(N39,Q39),VLOOKUP(F39,'2. AWARDS'!$C$9:$O$35,9,FALSE)&lt;&gt;0),VLOOKUP(F39,'2. AWARDS'!$C$9:$O$35,9,FALSE)*(1+P39)*(1+(R39/9)),IF(AND(E39='2. AWARDS'!F$7,O39=MAX(N39,Q39),VLOOKUP(F39,'2. AWARDS'!$C$9:$O$35,9,FALSE)=0),X39*(1+P39)*(1+(R39/9)),IF(AND(E39='2. AWARDS'!G$7,O39=MAX(N39,Q39),VLOOKUP(F39,'2. AWARDS'!$C$9:$O$35,10,FALSE)&lt;&gt;0),VLOOKUP(F39,'2. AWARDS'!$C$9:$O$35,10,FALSE)*(1+P39)*(1+(R39/9)),IF(AND(E39='2. AWARDS'!G$7,O39=MAX(N39,Q39),VLOOKUP(F39,'2. AWARDS'!$C$9:$O$35,10,FALSE)=0),X39*(1+P39)*(1+(R39/9)),IF(AND(E39='2. AWARDS'!H$7,O39=MAX(N39,Q39),VLOOKUP(F39,'2. AWARDS'!$C$9:$O$35,11,FALSE)&lt;&gt;0),VLOOKUP(F39,'2. AWARDS'!$C$9:$O$35,11,FALSE)*(1+P39)*(1+(R39/9)),IF(AND(E39='2. AWARDS'!H$7,O39=MAX(N39,Q39),VLOOKUP(F39,'2. AWARDS'!$C$9:$O$35,11,FALSE)=0),X39*(1+P39)*(1+(R39/9)),IF(AND(E39='2. AWARDS'!I$7,O39=MAX(N39,Q39),VLOOKUP(F39,'2. AWARDS'!$C$9:$O$35,12,FALSE)&lt;&gt;0),VLOOKUP(F39,'2. AWARDS'!$C$9:$O$35,12,FALSE)*(1+P39)*(1+(R39/9)),IF(AND(E39='2. AWARDS'!I$7,O39=MAX(N39,Q39),VLOOKUP(F39,'2. AWARDS'!$C$9:$O$35,12,FALSE)=0),X39*(1+P39)*(1+(R39/9)),IF(AND(E39='2. AWARDS'!J$7,O39=MAX(N39,Q39),VLOOKUP(F39,'2. AWARDS'!$C$9:$O$35,13,FALSE)&lt;&gt;0),VLOOKUP(F39,'2. AWARDS'!$C$9:$O$35,13,FALSE)*(1+P39)*(1+(R39/9)),IF(AND(E39='2. AWARDS'!J$7,O39=MAX(N39,Q39),VLOOKUP(F39,'2. AWARDS'!$C$9:$O$35,13,FALSE)=0),X39*(1+P39)*(1+(R39/9)),IF(AND(O39&lt;N39,O39&lt;Q39),X39*(1+P39),IF(AND(O39=N39,N39&lt;Q39,E39='2. AWARDS'!F$7),VLOOKUP(F39,'2. AWARDS'!$C$9:$O$35,9,FALSE)*(1+P39),IF(AND(O39=N39,N39&lt;Q39,E39='2. AWARDS'!G$7),VLOOKUP(F39,'2. AWARDS'!$C$9:$O$35,10,FALSE)*(1+P39),IF(AND(O39=N39,N39&lt;Q39,E39='2. AWARDS'!H$7),VLOOKUP(F39,'2. AWARDS'!$C$9:$O$35,11,FALSE)*(1+P39),IF(AND(O39=N39,N39&lt;Q39,E39='2. AWARDS'!I$7),VLOOKUP(F39,'2. AWARDS'!$C$9:$O$35,12,FALSE)*(1+P39),IF(AND(O39=N39,N39&lt;Q39,E39='2. AWARDS'!J$7),VLOOKUP(F39,'2. AWARDS'!$C$9:$O$35,13,FALSE)*(1+P39),IF(AND(O39=Q39,N39&gt;Q39),X39*(1+P39)*(1+(R39/9)),IF(AND(E39='2. AWARDS'!F$7,O39&gt;N39,O39&lt;Q39,VLOOKUP(F39,'2. AWARDS'!$C$9:$O$35,9,FALSE)&lt;&gt;0),VLOOKUP(F39,'2. AWARDS'!$C$9:$O$35,9,FALSE)*(1+P39),IF(AND(E39='2. AWARDS'!G$7,O39&gt;N39,O39&lt;Q39,VLOOKUP(F39,'2. AWARDS'!$C$9:$O$35,10,FALSE)&lt;&gt;0),VLOOKUP(F39,'2. AWARDS'!$C$9:$O$35,10,FALSE)*(1+P39),IF(AND(E39='2. AWARDS'!H$7,O39&gt;N39,O39&lt;Q39,VLOOKUP(F39,'2. AWARDS'!$C$9:$O$35,11,FALSE)&lt;&gt;0),VLOOKUP(F39,'2. AWARDS'!$C$9:$O$35,11,FALSE)*(1+P39),IF(AND(E39='2. AWARDS'!I$7,O39&gt;N39,O39&lt;Q39,VLOOKUP(F39,'2. AWARDS'!$C$9:$O$35,12,FALSE)&lt;&gt;0),VLOOKUP(F39,'2. AWARDS'!$C$9:$O$35,12,FALSE)*(1+P39),IF(AND(E39='2. AWARDS'!J$7,O39&gt;N39,O39&lt;Q39,VLOOKUP(F39,'2. AWARDS'!$C$9:$O$35,13,FALSE)&lt;&gt;0),VLOOKUP(F39,'2. AWARDS'!$C$9:$O$35,13,FALSE)*(1+P39),X39*(1+P39))))))))))))))))))))))))))))))))))</f>
        <v>#N/A</v>
      </c>
      <c r="AA39" s="661" t="e">
        <f t="shared" si="2"/>
        <v>#N/A</v>
      </c>
      <c r="AB39" s="683"/>
      <c r="AC39" s="774"/>
      <c r="AD39" s="774"/>
      <c r="AE39" s="774"/>
      <c r="AF39" s="781">
        <f t="shared" si="9"/>
        <v>0</v>
      </c>
      <c r="AG39" s="781" t="e">
        <f>HLOOKUP(E39,'2. AWARDS'!$F$7:$J$40,32,FALSE)/5*HLOOKUP(E39,'2. AWARDS'!$F$7:$J$40,31,FALSE)*MAX(W39:AA39)*M39*HLOOKUP(E39,'2. AWARDS'!$F$7:$J$40,34,FALSE)*L39/(38*2)</f>
        <v>#N/A</v>
      </c>
      <c r="AH39" s="783" t="e">
        <f>((HLOOKUP(E39,'2. AWARDS'!$F$7:$J$42,36,FALSE)/HLOOKUP(E39,'2. AWARDS'!$F$7:$J$42,35,FALSE)*HLOOKUP(E39,'2. AWARDS'!$F$7:$J$45,39,FALSE))/(HLOOKUP(E39,'2. AWARDS'!$F$7:$J$45,31,FALSE)*2)*L39*M39*HLOOKUP(E39,'2. AWARDS'!$F$7:$J$45,31,FALSE)*MAX(W39:AA39))</f>
        <v>#N/A</v>
      </c>
      <c r="AI39" s="474"/>
      <c r="AJ39" s="804"/>
      <c r="AK39" s="801"/>
      <c r="AL39" s="801"/>
      <c r="AM39" s="802"/>
      <c r="AN39" s="805"/>
      <c r="AO39" s="836">
        <f>IF(AJ39="YES",HLOOKUP(E39,'2. AWARDS'!$F$7:$J$38,32,FALSE)/5*HLOOKUP(E39,'2. AWARDS'!$F$7:$J$37,31,FALSE)*L39/(HLOOKUP(E39,'2. AWARDS'!$F$7:$J$37,31,FALSE)*2)*M39*MAX(W39:AA39)*(1+HLOOKUP(E39,'2. AWARDS'!$F$7:$J$43,37,FALSE))*(1-AM39),0)</f>
        <v>0</v>
      </c>
      <c r="AP39" s="836">
        <f>IF(AK39="YES",HLOOKUP(E39,'2. AWARDS'!$F$7:$J$39,33,FALSE)/5*HLOOKUP(E39,'2. AWARDS'!$F$7:$J$37,31,FALSE)*L39/(HLOOKUP(E39,'2. AWARDS'!$F$7:$J$37,31,FALSE)*2)*M39*MAX(W39:AA39)*(1+HLOOKUP(E39,'2. AWARDS'!$F$7:$J$43,37,FALSE))*(1-AM39),0)</f>
        <v>0</v>
      </c>
      <c r="AQ39" s="838">
        <f>IF(AL39="YES",HLOOKUP(E39,'2. AWARDS'!$F$7:$J$47,40,FALSE)/5*HLOOKUP(E39,'2. AWARDS'!$F$7:$J$37,31,FALSE)*L39/(HLOOKUP(E39,'2. AWARDS'!$F$7:$J$37,31,FALSE)*2)*M39*MAX(W39:AA39)*(1+HLOOKUP(E39,'2. AWARDS'!$F$7:$J$43,37,FALSE))*(1-AM39),0)</f>
        <v>0</v>
      </c>
      <c r="AR39" s="839">
        <f>(IF(AJ39="YES",HLOOKUP(E39,'2. AWARDS'!$F$7:$J$39,32,FALSE),0)+IF(AK39="YES",HLOOKUP(E39,'2. AWARDS'!$F$7:$J$39,33,FALSE),0)+IF(AL39="YES",HLOOKUP(E39,'2. AWARDS'!$F$7:$J$47,40,FALSE),0))*L39/76*7.6*AM39*AN39*M39</f>
        <v>0</v>
      </c>
      <c r="AS39" s="683"/>
      <c r="AT39" s="215">
        <f>'1. KEY DATA'!J$29</f>
        <v>0</v>
      </c>
      <c r="AU39" s="218">
        <f>'1. KEY DATA'!J$30</f>
        <v>0.09</v>
      </c>
      <c r="AV39" s="502"/>
      <c r="AW39" s="1104">
        <f t="shared" si="3"/>
        <v>0</v>
      </c>
      <c r="AX39" s="176"/>
      <c r="AY39" s="173"/>
      <c r="AZ39" s="452">
        <f t="shared" si="4"/>
        <v>0</v>
      </c>
      <c r="BA39" s="405" t="str">
        <f t="shared" si="11"/>
        <v>-</v>
      </c>
      <c r="BB39" s="406" t="str">
        <f t="shared" si="11"/>
        <v>-</v>
      </c>
      <c r="BC39" s="406" t="str">
        <f t="shared" si="11"/>
        <v>-</v>
      </c>
      <c r="BD39" s="406" t="str">
        <f t="shared" si="11"/>
        <v>-</v>
      </c>
      <c r="BE39" s="406" t="str">
        <f t="shared" si="11"/>
        <v>-</v>
      </c>
      <c r="BF39" s="406" t="str">
        <f t="shared" si="11"/>
        <v>-</v>
      </c>
      <c r="BG39" s="406" t="str">
        <f t="shared" si="11"/>
        <v>-</v>
      </c>
      <c r="BH39" s="406" t="str">
        <f t="shared" si="11"/>
        <v>-</v>
      </c>
      <c r="BI39" s="406" t="str">
        <f t="shared" si="11"/>
        <v>-</v>
      </c>
      <c r="BJ39" s="406" t="str">
        <f t="shared" si="11"/>
        <v>-</v>
      </c>
      <c r="BK39" s="406" t="str">
        <f t="shared" si="11"/>
        <v>-</v>
      </c>
      <c r="BL39" s="406" t="str">
        <f t="shared" si="11"/>
        <v>-</v>
      </c>
      <c r="BM39" s="406" t="str">
        <f t="shared" si="11"/>
        <v>-</v>
      </c>
      <c r="BN39" s="406" t="str">
        <f t="shared" si="11"/>
        <v>-</v>
      </c>
      <c r="BO39" s="407" t="str">
        <f t="shared" si="11"/>
        <v>-</v>
      </c>
      <c r="BP39" s="1539"/>
    </row>
    <row r="40" spans="1:69" s="9" customFormat="1">
      <c r="B40" s="505"/>
      <c r="C40" s="80"/>
      <c r="D40" s="699">
        <f t="shared" si="1"/>
        <v>0</v>
      </c>
      <c r="E40" s="626"/>
      <c r="F40" s="652"/>
      <c r="G40" s="702"/>
      <c r="H40" s="693"/>
      <c r="I40" s="694"/>
      <c r="J40" s="1113"/>
      <c r="K40" s="1114"/>
      <c r="L40" s="763"/>
      <c r="M40" s="689"/>
      <c r="N40" s="629"/>
      <c r="O40" s="629"/>
      <c r="P40" s="638">
        <f t="shared" si="6"/>
        <v>0.03</v>
      </c>
      <c r="Q40" s="629"/>
      <c r="R40" s="673" t="str">
        <f t="shared" si="7"/>
        <v>-</v>
      </c>
      <c r="S40" s="649"/>
      <c r="T40" s="647"/>
      <c r="U40" s="827"/>
      <c r="V40" s="670"/>
      <c r="W40" s="798">
        <f t="shared" si="8"/>
        <v>0</v>
      </c>
      <c r="X40" s="656">
        <f>IF(OR(E40=0,F40=0),0,IF(E40='2. AWARDS'!F$7,VLOOKUP(F40,'2. AWARDS'!$C$9:$F$35,4,FALSE),IF(E40='2. AWARDS'!G$7,VLOOKUP(F40,'2. AWARDS'!$C$9:$G$35,5,FALSE),IF(E40='2. AWARDS'!H$7,VLOOKUP(F40,'2. AWARDS'!$C$9:$H$35,6,FALSE),IF(E40='2. AWARDS'!I$7,VLOOKUP(F40,'2. AWARDS'!$C$9:$I$35,7,FALSE),VLOOKUP(F40,'2. AWARDS'!$C$9:$J$35,8,FALSE))))))</f>
        <v>0</v>
      </c>
      <c r="Y40" s="657">
        <f>IF(OR(E40=0,F40=0),0,IF(AND(N40=0,E40='2. AWARDS'!F$7,VLOOKUP(F40,'2. AWARDS'!$C$9:$O$35,9,FALSE)&lt;&gt;0),"date missing",IF(AND(N40=0,E40='2. AWARDS'!G$7,VLOOKUP(F40,'2. AWARDS'!$C$9:$O$35,10,FALSE)&lt;&gt;0),"date missing",IF(AND(N40=0,E40='2. AWARDS'!H$7,VLOOKUP(F40,'2. AWARDS'!$C$9:$O$35,11,FALSE)&lt;&gt;0),"date missing",IF(AND(N40=0,E40='2. AWARDS'!I$7,VLOOKUP(F40,'2. AWARDS'!$C$9:$O$35,12,FALSE)&lt;&gt;0),"date missing",IF(AND(N40=0,E40='2. AWARDS'!J$7,VLOOKUP(F40,'2. AWARDS'!$C$9:$O$35,13,FALSE)&lt;&gt;0),"date missing",IF(N40=0,0,IF(OR(N40=MIN(O40,Q40),AND(N40&lt;O40,N40&lt;Q40,N40&gt;0)),IF(E40='2. AWARDS'!F$7,VLOOKUP(F40,'2. AWARDS'!$C$9:$O$35,9,FALSE),IF(E40='2. AWARDS'!G$7,VLOOKUP(F40,'2. AWARDS'!$C$9:$O$35,10,FALSE),IF(E40='2. AWARDS'!H$7,VLOOKUP(F40,'2. AWARDS'!$C$9:$O$35,11,FALSE),IF(E40='2. AWARDS'!I$7,VLOOKUP(F40,'2. AWARDS'!$C$9:$O$35,12,FALSE),IF(E40='2. AWARDS'!J$7,VLOOKUP(F40,'2. AWARDS'!$C$9:$O$35,13,FALSE)))))),IF(AND(N40&gt;O40,N40&lt;Q40),IF(E40='2. AWARDS'!F$7,(1+P40)*VLOOKUP(F40,'2. AWARDS'!$C$9:$O$35,9,FALSE),IF(E40='2. AWARDS'!G$7,(1+P40)*VLOOKUP(F40,'2. AWARDS'!$C$9:$O$35,10,FALSE),IF(E40='2. AWARDS'!H$7,(1+P40)*VLOOKUP(F40,'2. AWARDS'!$C$9:$O$35,11,FALSE),IF(E40='2. AWARDS'!I$7,(1+P40)*VLOOKUP(F40,'2. AWARDS'!$C$9:$O$35,12,FALSE),IF(E40='2. AWARDS'!J$7,(1+P40)*VLOOKUP(F40,'2. AWARDS'!$C$9:$O$35,13,FALSE)))))),IF(AND(N40&lt;O40,N40&gt;Q40),IF(E40='2. AWARDS'!F$7,(1+(R40/9))*VLOOKUP(F40,'2. AWARDS'!$C$9:$O$35,9,FALSE),IF(E40='2. AWARDS'!G$7,(1+(R40/9))*VLOOKUP(F40,'2. AWARDS'!$C$9:$O$35,10,FALSE),IF(E40='2. AWARDS'!H$7,(1+(R40/9))*VLOOKUP(F40,'2. AWARDS'!$C$9:$O$35,11,FALSE),IF(E40='2. AWARDS'!I$7,(1+(R40/9))*VLOOKUP(F40,'2. AWARDS'!$C$9:$O$35,12,FALSE),IF(E40='2. AWARDS'!J$7,(1+(R40/9))*VLOOKUP(F40,'2. AWARDS'!$C$9:$O$35,13,FALSE)))))),IF(OR(N40=MAX(O40,Q40),AND(N40&gt;O40,N40&gt;Q40)),IF(E40='2. AWARDS'!F$7,((1+(R40/9))*(1+P40))*VLOOKUP(F40,'2. AWARDS'!$C$9:$O$35,9,FALSE),IF(E40='2. AWARDS'!G$7,((1+(R40/9))*(1+P40))*VLOOKUP(F40,'2. AWARDS'!$C$9:$O$35,10,FALSE),IF(E40='2. AWARDS'!H$7,((1+(R40/9))*(1+P40))*VLOOKUP(F40,'2. AWARDS'!$C$9:$O$35,11,FALSE),IF(E40='2. AWARDS'!I$7,((1+(R40/9))*(1+P40))*VLOOKUP(F40,'2. AWARDS'!$C$9:$O$35,12,FALSE),IF(E40='2. AWARDS'!J$7,((1+(R40/9))*(1+P40))*VLOOKUP(F40,'2. AWARDS'!$C$9:$O$35,13,FALSE)))))),"?")))))))))))</f>
        <v>0</v>
      </c>
      <c r="Z40" s="656" t="e">
        <f>IF(AND(E40='2. AWARDS'!F$7,O40&gt;N40,O40&gt;Q40,VLOOKUP(F40,'2. AWARDS'!$C$9:$O$35,9,FALSE)&lt;&gt;0),VLOOKUP(F40,'2. AWARDS'!$C$9:$O$35,9,FALSE)*(1+P40)*(1+(R40/9)),IF(AND(E40='2. AWARDS'!F$7,O40&gt;N40,O40&gt;Q40,VLOOKUP(F40,'2. AWARDS'!$C$9:$O$35,9,FALSE)=0),X40*(1+P40)*(1+(R40/9)),IF(AND(E40='2. AWARDS'!G$7,O40&gt;N40,O40&gt;Q40,VLOOKUP(F40,'2. AWARDS'!$C$9:$O$35,10,FALSE)&lt;&gt;0),VLOOKUP(F40,'2. AWARDS'!$C$9:$O$35,10,FALSE)*(1+P40)*(1+(R40/9)),IF(AND(E40='2. AWARDS'!G$7,O40&gt;N40,O40&gt;Q40,VLOOKUP(F40,'2. AWARDS'!$C$9:$O$35,10,FALSE)=0),X40*(1+P40)*(1+(R40/9)),IF(AND(E40='2. AWARDS'!H$7,O40&gt;N40,O40&gt;Q40,VLOOKUP(F40,'2. AWARDS'!$C$9:$O$35,11,FALSE)&lt;&gt;0),VLOOKUP(F40,'2. AWARDS'!$C$9:$O$35,11,FALSE)*(1+P40)*(1+(R40/9)),IF(AND(E40='2. AWARDS'!H$7,O40&gt;N40,O40&gt;Q40,VLOOKUP(F40,'2. AWARDS'!$C$9:$O$35,11,FALSE)=0),X40*(1+P40)*(1+(R40/9)),IF(AND(E40='2. AWARDS'!I$7,O40&gt;N40,O40&gt;Q40,VLOOKUP(F40,'2. AWARDS'!$C$9:$O$35,12,FALSE)&lt;&gt;0),VLOOKUP(F40,'2. AWARDS'!$C$9:$O$35,12,FALSE)*(1+P40)*(1+(R40/9)),IF(AND(E40='2. AWARDS'!I$7,O40&gt;N40,O40&gt;Q40,VLOOKUP(F40,'2. AWARDS'!$C$9:$O$35,12,FALSE)=0),X40*(1+P40)*(1+(R40/9)),IF(AND(E40='2. AWARDS'!J$7,O40&gt;N40,O40&gt;Q40,VLOOKUP(F40,'2. AWARDS'!$C$9:$O$35,13,FALSE)&lt;&gt;0),VLOOKUP(F40,'2. AWARDS'!$C$9:$O$35,13,FALSE)*(1+P40)*(1+(R40/9)),IF(AND(E40='2. AWARDS'!J$7,O40&gt;N40,O40&gt;Q40,VLOOKUP(F40,'2. AWARDS'!$C$9:$O$35,13,FALSE)=0),X40*(1+P40)*(1+(R40/9)),IF(AND(O40&lt;N40,O40&gt;Q40),X40*(1+P40)*(1+(R40/9)),IF(AND(E40='2. AWARDS'!F$7,O40=MAX(N40,Q40),VLOOKUP(F40,'2. AWARDS'!$C$9:$O$35,9,FALSE)&lt;&gt;0),VLOOKUP(F40,'2. AWARDS'!$C$9:$O$35,9,FALSE)*(1+P40)*(1+(R40/9)),IF(AND(E40='2. AWARDS'!F$7,O40=MAX(N40,Q40),VLOOKUP(F40,'2. AWARDS'!$C$9:$O$35,9,FALSE)=0),X40*(1+P40)*(1+(R40/9)),IF(AND(E40='2. AWARDS'!G$7,O40=MAX(N40,Q40),VLOOKUP(F40,'2. AWARDS'!$C$9:$O$35,10,FALSE)&lt;&gt;0),VLOOKUP(F40,'2. AWARDS'!$C$9:$O$35,10,FALSE)*(1+P40)*(1+(R40/9)),IF(AND(E40='2. AWARDS'!G$7,O40=MAX(N40,Q40),VLOOKUP(F40,'2. AWARDS'!$C$9:$O$35,10,FALSE)=0),X40*(1+P40)*(1+(R40/9)),IF(AND(E40='2. AWARDS'!H$7,O40=MAX(N40,Q40),VLOOKUP(F40,'2. AWARDS'!$C$9:$O$35,11,FALSE)&lt;&gt;0),VLOOKUP(F40,'2. AWARDS'!$C$9:$O$35,11,FALSE)*(1+P40)*(1+(R40/9)),IF(AND(E40='2. AWARDS'!H$7,O40=MAX(N40,Q40),VLOOKUP(F40,'2. AWARDS'!$C$9:$O$35,11,FALSE)=0),X40*(1+P40)*(1+(R40/9)),IF(AND(E40='2. AWARDS'!I$7,O40=MAX(N40,Q40),VLOOKUP(F40,'2. AWARDS'!$C$9:$O$35,12,FALSE)&lt;&gt;0),VLOOKUP(F40,'2. AWARDS'!$C$9:$O$35,12,FALSE)*(1+P40)*(1+(R40/9)),IF(AND(E40='2. AWARDS'!I$7,O40=MAX(N40,Q40),VLOOKUP(F40,'2. AWARDS'!$C$9:$O$35,12,FALSE)=0),X40*(1+P40)*(1+(R40/9)),IF(AND(E40='2. AWARDS'!J$7,O40=MAX(N40,Q40),VLOOKUP(F40,'2. AWARDS'!$C$9:$O$35,13,FALSE)&lt;&gt;0),VLOOKUP(F40,'2. AWARDS'!$C$9:$O$35,13,FALSE)*(1+P40)*(1+(R40/9)),IF(AND(E40='2. AWARDS'!J$7,O40=MAX(N40,Q40),VLOOKUP(F40,'2. AWARDS'!$C$9:$O$35,13,FALSE)=0),X40*(1+P40)*(1+(R40/9)),IF(AND(O40&lt;N40,O40&lt;Q40),X40*(1+P40),IF(AND(O40=N40,N40&lt;Q40,E40='2. AWARDS'!F$7),VLOOKUP(F40,'2. AWARDS'!$C$9:$O$35,9,FALSE)*(1+P40),IF(AND(O40=N40,N40&lt;Q40,E40='2. AWARDS'!G$7),VLOOKUP(F40,'2. AWARDS'!$C$9:$O$35,10,FALSE)*(1+P40),IF(AND(O40=N40,N40&lt;Q40,E40='2. AWARDS'!H$7),VLOOKUP(F40,'2. AWARDS'!$C$9:$O$35,11,FALSE)*(1+P40),IF(AND(O40=N40,N40&lt;Q40,E40='2. AWARDS'!I$7),VLOOKUP(F40,'2. AWARDS'!$C$9:$O$35,12,FALSE)*(1+P40),IF(AND(O40=N40,N40&lt;Q40,E40='2. AWARDS'!J$7),VLOOKUP(F40,'2. AWARDS'!$C$9:$O$35,13,FALSE)*(1+P40),IF(AND(O40=Q40,N40&gt;Q40),X40*(1+P40)*(1+(R40/9)),IF(AND(E40='2. AWARDS'!F$7,O40&gt;N40,O40&lt;Q40,VLOOKUP(F40,'2. AWARDS'!$C$9:$O$35,9,FALSE)&lt;&gt;0),VLOOKUP(F40,'2. AWARDS'!$C$9:$O$35,9,FALSE)*(1+P40),IF(AND(E40='2. AWARDS'!G$7,O40&gt;N40,O40&lt;Q40,VLOOKUP(F40,'2. AWARDS'!$C$9:$O$35,10,FALSE)&lt;&gt;0),VLOOKUP(F40,'2. AWARDS'!$C$9:$O$35,10,FALSE)*(1+P40),IF(AND(E40='2. AWARDS'!H$7,O40&gt;N40,O40&lt;Q40,VLOOKUP(F40,'2. AWARDS'!$C$9:$O$35,11,FALSE)&lt;&gt;0),VLOOKUP(F40,'2. AWARDS'!$C$9:$O$35,11,FALSE)*(1+P40),IF(AND(E40='2. AWARDS'!I$7,O40&gt;N40,O40&lt;Q40,VLOOKUP(F40,'2. AWARDS'!$C$9:$O$35,12,FALSE)&lt;&gt;0),VLOOKUP(F40,'2. AWARDS'!$C$9:$O$35,12,FALSE)*(1+P40),IF(AND(E40='2. AWARDS'!J$7,O40&gt;N40,O40&lt;Q40,VLOOKUP(F40,'2. AWARDS'!$C$9:$O$35,13,FALSE)&lt;&gt;0),VLOOKUP(F40,'2. AWARDS'!$C$9:$O$35,13,FALSE)*(1+P40),X40*(1+P40))))))))))))))))))))))))))))))))))</f>
        <v>#N/A</v>
      </c>
      <c r="AA40" s="661" t="e">
        <f t="shared" si="2"/>
        <v>#N/A</v>
      </c>
      <c r="AB40" s="683"/>
      <c r="AC40" s="774"/>
      <c r="AD40" s="774"/>
      <c r="AE40" s="774"/>
      <c r="AF40" s="781">
        <f t="shared" si="9"/>
        <v>0</v>
      </c>
      <c r="AG40" s="781" t="e">
        <f>HLOOKUP(E40,'2. AWARDS'!$F$7:$J$40,32,FALSE)/5*HLOOKUP(E40,'2. AWARDS'!$F$7:$J$40,31,FALSE)*MAX(W40:AA40)*M40*HLOOKUP(E40,'2. AWARDS'!$F$7:$J$40,34,FALSE)*L40/(38*2)</f>
        <v>#N/A</v>
      </c>
      <c r="AH40" s="783" t="e">
        <f>((HLOOKUP(E40,'2. AWARDS'!$F$7:$J$42,36,FALSE)/HLOOKUP(E40,'2. AWARDS'!$F$7:$J$42,35,FALSE)*HLOOKUP(E40,'2. AWARDS'!$F$7:$J$45,39,FALSE))/(HLOOKUP(E40,'2. AWARDS'!$F$7:$J$45,31,FALSE)*2)*L40*M40*HLOOKUP(E40,'2. AWARDS'!$F$7:$J$45,31,FALSE)*MAX(W40:AA40))</f>
        <v>#N/A</v>
      </c>
      <c r="AI40" s="474"/>
      <c r="AJ40" s="804"/>
      <c r="AK40" s="801"/>
      <c r="AL40" s="801"/>
      <c r="AM40" s="802"/>
      <c r="AN40" s="805"/>
      <c r="AO40" s="836">
        <f>IF(AJ40="YES",HLOOKUP(E40,'2. AWARDS'!$F$7:$J$38,32,FALSE)/5*HLOOKUP(E40,'2. AWARDS'!$F$7:$J$37,31,FALSE)*L40/(HLOOKUP(E40,'2. AWARDS'!$F$7:$J$37,31,FALSE)*2)*M40*MAX(W40:AA40)*(1+HLOOKUP(E40,'2. AWARDS'!$F$7:$J$43,37,FALSE))*(1-AM40),0)</f>
        <v>0</v>
      </c>
      <c r="AP40" s="836">
        <f>IF(AK40="YES",HLOOKUP(E40,'2. AWARDS'!$F$7:$J$39,33,FALSE)/5*HLOOKUP(E40,'2. AWARDS'!$F$7:$J$37,31,FALSE)*L40/(HLOOKUP(E40,'2. AWARDS'!$F$7:$J$37,31,FALSE)*2)*M40*MAX(W40:AA40)*(1+HLOOKUP(E40,'2. AWARDS'!$F$7:$J$43,37,FALSE))*(1-AM40),0)</f>
        <v>0</v>
      </c>
      <c r="AQ40" s="838">
        <f>IF(AL40="YES",HLOOKUP(E40,'2. AWARDS'!$F$7:$J$47,40,FALSE)/5*HLOOKUP(E40,'2. AWARDS'!$F$7:$J$37,31,FALSE)*L40/(HLOOKUP(E40,'2. AWARDS'!$F$7:$J$37,31,FALSE)*2)*M40*MAX(W40:AA40)*(1+HLOOKUP(E40,'2. AWARDS'!$F$7:$J$43,37,FALSE))*(1-AM40),0)</f>
        <v>0</v>
      </c>
      <c r="AR40" s="839">
        <f>(IF(AJ40="YES",HLOOKUP(E40,'2. AWARDS'!$F$7:$J$39,32,FALSE),0)+IF(AK40="YES",HLOOKUP(E40,'2. AWARDS'!$F$7:$J$39,33,FALSE),0)+IF(AL40="YES",HLOOKUP(E40,'2. AWARDS'!$F$7:$J$47,40,FALSE),0))*L40/76*7.6*AM40*AN40*M40</f>
        <v>0</v>
      </c>
      <c r="AS40" s="683"/>
      <c r="AT40" s="215">
        <f>'1. KEY DATA'!J$29</f>
        <v>0</v>
      </c>
      <c r="AU40" s="218">
        <f>'1. KEY DATA'!J$30</f>
        <v>0.09</v>
      </c>
      <c r="AV40" s="502"/>
      <c r="AW40" s="1104">
        <f t="shared" si="3"/>
        <v>0</v>
      </c>
      <c r="AX40" s="176"/>
      <c r="AY40" s="173"/>
      <c r="AZ40" s="452">
        <f t="shared" si="4"/>
        <v>0</v>
      </c>
      <c r="BA40" s="405" t="str">
        <f t="shared" si="11"/>
        <v>-</v>
      </c>
      <c r="BB40" s="406" t="str">
        <f t="shared" si="11"/>
        <v>-</v>
      </c>
      <c r="BC40" s="406" t="str">
        <f t="shared" si="11"/>
        <v>-</v>
      </c>
      <c r="BD40" s="406" t="str">
        <f t="shared" si="11"/>
        <v>-</v>
      </c>
      <c r="BE40" s="406" t="str">
        <f t="shared" si="11"/>
        <v>-</v>
      </c>
      <c r="BF40" s="406" t="str">
        <f t="shared" si="11"/>
        <v>-</v>
      </c>
      <c r="BG40" s="406" t="str">
        <f t="shared" si="11"/>
        <v>-</v>
      </c>
      <c r="BH40" s="406" t="str">
        <f t="shared" si="11"/>
        <v>-</v>
      </c>
      <c r="BI40" s="406" t="str">
        <f t="shared" si="11"/>
        <v>-</v>
      </c>
      <c r="BJ40" s="406" t="str">
        <f t="shared" si="11"/>
        <v>-</v>
      </c>
      <c r="BK40" s="406" t="str">
        <f t="shared" si="11"/>
        <v>-</v>
      </c>
      <c r="BL40" s="406" t="str">
        <f t="shared" si="11"/>
        <v>-</v>
      </c>
      <c r="BM40" s="406" t="str">
        <f t="shared" si="11"/>
        <v>-</v>
      </c>
      <c r="BN40" s="406" t="str">
        <f t="shared" si="11"/>
        <v>-</v>
      </c>
      <c r="BO40" s="407" t="str">
        <f t="shared" si="11"/>
        <v>-</v>
      </c>
      <c r="BP40" s="1539"/>
    </row>
    <row r="41" spans="1:69" s="9" customFormat="1">
      <c r="B41" s="506"/>
      <c r="C41" s="80"/>
      <c r="D41" s="699">
        <f t="shared" si="1"/>
        <v>0</v>
      </c>
      <c r="E41" s="626"/>
      <c r="F41" s="652"/>
      <c r="G41" s="702"/>
      <c r="H41" s="693"/>
      <c r="I41" s="694"/>
      <c r="J41" s="1113"/>
      <c r="K41" s="1114"/>
      <c r="L41" s="763"/>
      <c r="M41" s="689"/>
      <c r="N41" s="629"/>
      <c r="O41" s="629"/>
      <c r="P41" s="638">
        <f t="shared" si="6"/>
        <v>0.03</v>
      </c>
      <c r="Q41" s="629"/>
      <c r="R41" s="673" t="str">
        <f t="shared" si="7"/>
        <v>-</v>
      </c>
      <c r="S41" s="649"/>
      <c r="T41" s="647"/>
      <c r="U41" s="827"/>
      <c r="V41" s="670"/>
      <c r="W41" s="798">
        <f t="shared" si="8"/>
        <v>0</v>
      </c>
      <c r="X41" s="656">
        <f>IF(OR(E41=0,F41=0),0,IF(E41='2. AWARDS'!F$7,VLOOKUP(F41,'2. AWARDS'!$C$9:$F$35,4,FALSE),IF(E41='2. AWARDS'!G$7,VLOOKUP(F41,'2. AWARDS'!$C$9:$G$35,5,FALSE),IF(E41='2. AWARDS'!H$7,VLOOKUP(F41,'2. AWARDS'!$C$9:$H$35,6,FALSE),IF(E41='2. AWARDS'!I$7,VLOOKUP(F41,'2. AWARDS'!$C$9:$I$35,7,FALSE),VLOOKUP(F41,'2. AWARDS'!$C$9:$J$35,8,FALSE))))))</f>
        <v>0</v>
      </c>
      <c r="Y41" s="657">
        <f>IF(OR(E41=0,F41=0),0,IF(AND(N41=0,E41='2. AWARDS'!F$7,VLOOKUP(F41,'2. AWARDS'!$C$9:$O$35,9,FALSE)&lt;&gt;0),"date missing",IF(AND(N41=0,E41='2. AWARDS'!G$7,VLOOKUP(F41,'2. AWARDS'!$C$9:$O$35,10,FALSE)&lt;&gt;0),"date missing",IF(AND(N41=0,E41='2. AWARDS'!H$7,VLOOKUP(F41,'2. AWARDS'!$C$9:$O$35,11,FALSE)&lt;&gt;0),"date missing",IF(AND(N41=0,E41='2. AWARDS'!I$7,VLOOKUP(F41,'2. AWARDS'!$C$9:$O$35,12,FALSE)&lt;&gt;0),"date missing",IF(AND(N41=0,E41='2. AWARDS'!J$7,VLOOKUP(F41,'2. AWARDS'!$C$9:$O$35,13,FALSE)&lt;&gt;0),"date missing",IF(N41=0,0,IF(OR(N41=MIN(O41,Q41),AND(N41&lt;O41,N41&lt;Q41,N41&gt;0)),IF(E41='2. AWARDS'!F$7,VLOOKUP(F41,'2. AWARDS'!$C$9:$O$35,9,FALSE),IF(E41='2. AWARDS'!G$7,VLOOKUP(F41,'2. AWARDS'!$C$9:$O$35,10,FALSE),IF(E41='2. AWARDS'!H$7,VLOOKUP(F41,'2. AWARDS'!$C$9:$O$35,11,FALSE),IF(E41='2. AWARDS'!I$7,VLOOKUP(F41,'2. AWARDS'!$C$9:$O$35,12,FALSE),IF(E41='2. AWARDS'!J$7,VLOOKUP(F41,'2. AWARDS'!$C$9:$O$35,13,FALSE)))))),IF(AND(N41&gt;O41,N41&lt;Q41),IF(E41='2. AWARDS'!F$7,(1+P41)*VLOOKUP(F41,'2. AWARDS'!$C$9:$O$35,9,FALSE),IF(E41='2. AWARDS'!G$7,(1+P41)*VLOOKUP(F41,'2. AWARDS'!$C$9:$O$35,10,FALSE),IF(E41='2. AWARDS'!H$7,(1+P41)*VLOOKUP(F41,'2. AWARDS'!$C$9:$O$35,11,FALSE),IF(E41='2. AWARDS'!I$7,(1+P41)*VLOOKUP(F41,'2. AWARDS'!$C$9:$O$35,12,FALSE),IF(E41='2. AWARDS'!J$7,(1+P41)*VLOOKUP(F41,'2. AWARDS'!$C$9:$O$35,13,FALSE)))))),IF(AND(N41&lt;O41,N41&gt;Q41),IF(E41='2. AWARDS'!F$7,(1+(R41/9))*VLOOKUP(F41,'2. AWARDS'!$C$9:$O$35,9,FALSE),IF(E41='2. AWARDS'!G$7,(1+(R41/9))*VLOOKUP(F41,'2. AWARDS'!$C$9:$O$35,10,FALSE),IF(E41='2. AWARDS'!H$7,(1+(R41/9))*VLOOKUP(F41,'2. AWARDS'!$C$9:$O$35,11,FALSE),IF(E41='2. AWARDS'!I$7,(1+(R41/9))*VLOOKUP(F41,'2. AWARDS'!$C$9:$O$35,12,FALSE),IF(E41='2. AWARDS'!J$7,(1+(R41/9))*VLOOKUP(F41,'2. AWARDS'!$C$9:$O$35,13,FALSE)))))),IF(OR(N41=MAX(O41,Q41),AND(N41&gt;O41,N41&gt;Q41)),IF(E41='2. AWARDS'!F$7,((1+(R41/9))*(1+P41))*VLOOKUP(F41,'2. AWARDS'!$C$9:$O$35,9,FALSE),IF(E41='2. AWARDS'!G$7,((1+(R41/9))*(1+P41))*VLOOKUP(F41,'2. AWARDS'!$C$9:$O$35,10,FALSE),IF(E41='2. AWARDS'!H$7,((1+(R41/9))*(1+P41))*VLOOKUP(F41,'2. AWARDS'!$C$9:$O$35,11,FALSE),IF(E41='2. AWARDS'!I$7,((1+(R41/9))*(1+P41))*VLOOKUP(F41,'2. AWARDS'!$C$9:$O$35,12,FALSE),IF(E41='2. AWARDS'!J$7,((1+(R41/9))*(1+P41))*VLOOKUP(F41,'2. AWARDS'!$C$9:$O$35,13,FALSE)))))),"?")))))))))))</f>
        <v>0</v>
      </c>
      <c r="Z41" s="656" t="e">
        <f>IF(AND(E41='2. AWARDS'!F$7,O41&gt;N41,O41&gt;Q41,VLOOKUP(F41,'2. AWARDS'!$C$9:$O$35,9,FALSE)&lt;&gt;0),VLOOKUP(F41,'2. AWARDS'!$C$9:$O$35,9,FALSE)*(1+P41)*(1+(R41/9)),IF(AND(E41='2. AWARDS'!F$7,O41&gt;N41,O41&gt;Q41,VLOOKUP(F41,'2. AWARDS'!$C$9:$O$35,9,FALSE)=0),X41*(1+P41)*(1+(R41/9)),IF(AND(E41='2. AWARDS'!G$7,O41&gt;N41,O41&gt;Q41,VLOOKUP(F41,'2. AWARDS'!$C$9:$O$35,10,FALSE)&lt;&gt;0),VLOOKUP(F41,'2. AWARDS'!$C$9:$O$35,10,FALSE)*(1+P41)*(1+(R41/9)),IF(AND(E41='2. AWARDS'!G$7,O41&gt;N41,O41&gt;Q41,VLOOKUP(F41,'2. AWARDS'!$C$9:$O$35,10,FALSE)=0),X41*(1+P41)*(1+(R41/9)),IF(AND(E41='2. AWARDS'!H$7,O41&gt;N41,O41&gt;Q41,VLOOKUP(F41,'2. AWARDS'!$C$9:$O$35,11,FALSE)&lt;&gt;0),VLOOKUP(F41,'2. AWARDS'!$C$9:$O$35,11,FALSE)*(1+P41)*(1+(R41/9)),IF(AND(E41='2. AWARDS'!H$7,O41&gt;N41,O41&gt;Q41,VLOOKUP(F41,'2. AWARDS'!$C$9:$O$35,11,FALSE)=0),X41*(1+P41)*(1+(R41/9)),IF(AND(E41='2. AWARDS'!I$7,O41&gt;N41,O41&gt;Q41,VLOOKUP(F41,'2. AWARDS'!$C$9:$O$35,12,FALSE)&lt;&gt;0),VLOOKUP(F41,'2. AWARDS'!$C$9:$O$35,12,FALSE)*(1+P41)*(1+(R41/9)),IF(AND(E41='2. AWARDS'!I$7,O41&gt;N41,O41&gt;Q41,VLOOKUP(F41,'2. AWARDS'!$C$9:$O$35,12,FALSE)=0),X41*(1+P41)*(1+(R41/9)),IF(AND(E41='2. AWARDS'!J$7,O41&gt;N41,O41&gt;Q41,VLOOKUP(F41,'2. AWARDS'!$C$9:$O$35,13,FALSE)&lt;&gt;0),VLOOKUP(F41,'2. AWARDS'!$C$9:$O$35,13,FALSE)*(1+P41)*(1+(R41/9)),IF(AND(E41='2. AWARDS'!J$7,O41&gt;N41,O41&gt;Q41,VLOOKUP(F41,'2. AWARDS'!$C$9:$O$35,13,FALSE)=0),X41*(1+P41)*(1+(R41/9)),IF(AND(O41&lt;N41,O41&gt;Q41),X41*(1+P41)*(1+(R41/9)),IF(AND(E41='2. AWARDS'!F$7,O41=MAX(N41,Q41),VLOOKUP(F41,'2. AWARDS'!$C$9:$O$35,9,FALSE)&lt;&gt;0),VLOOKUP(F41,'2. AWARDS'!$C$9:$O$35,9,FALSE)*(1+P41)*(1+(R41/9)),IF(AND(E41='2. AWARDS'!F$7,O41=MAX(N41,Q41),VLOOKUP(F41,'2. AWARDS'!$C$9:$O$35,9,FALSE)=0),X41*(1+P41)*(1+(R41/9)),IF(AND(E41='2. AWARDS'!G$7,O41=MAX(N41,Q41),VLOOKUP(F41,'2. AWARDS'!$C$9:$O$35,10,FALSE)&lt;&gt;0),VLOOKUP(F41,'2. AWARDS'!$C$9:$O$35,10,FALSE)*(1+P41)*(1+(R41/9)),IF(AND(E41='2. AWARDS'!G$7,O41=MAX(N41,Q41),VLOOKUP(F41,'2. AWARDS'!$C$9:$O$35,10,FALSE)=0),X41*(1+P41)*(1+(R41/9)),IF(AND(E41='2. AWARDS'!H$7,O41=MAX(N41,Q41),VLOOKUP(F41,'2. AWARDS'!$C$9:$O$35,11,FALSE)&lt;&gt;0),VLOOKUP(F41,'2. AWARDS'!$C$9:$O$35,11,FALSE)*(1+P41)*(1+(R41/9)),IF(AND(E41='2. AWARDS'!H$7,O41=MAX(N41,Q41),VLOOKUP(F41,'2. AWARDS'!$C$9:$O$35,11,FALSE)=0),X41*(1+P41)*(1+(R41/9)),IF(AND(E41='2. AWARDS'!I$7,O41=MAX(N41,Q41),VLOOKUP(F41,'2. AWARDS'!$C$9:$O$35,12,FALSE)&lt;&gt;0),VLOOKUP(F41,'2. AWARDS'!$C$9:$O$35,12,FALSE)*(1+P41)*(1+(R41/9)),IF(AND(E41='2. AWARDS'!I$7,O41=MAX(N41,Q41),VLOOKUP(F41,'2. AWARDS'!$C$9:$O$35,12,FALSE)=0),X41*(1+P41)*(1+(R41/9)),IF(AND(E41='2. AWARDS'!J$7,O41=MAX(N41,Q41),VLOOKUP(F41,'2. AWARDS'!$C$9:$O$35,13,FALSE)&lt;&gt;0),VLOOKUP(F41,'2. AWARDS'!$C$9:$O$35,13,FALSE)*(1+P41)*(1+(R41/9)),IF(AND(E41='2. AWARDS'!J$7,O41=MAX(N41,Q41),VLOOKUP(F41,'2. AWARDS'!$C$9:$O$35,13,FALSE)=0),X41*(1+P41)*(1+(R41/9)),IF(AND(O41&lt;N41,O41&lt;Q41),X41*(1+P41),IF(AND(O41=N41,N41&lt;Q41,E41='2. AWARDS'!F$7),VLOOKUP(F41,'2. AWARDS'!$C$9:$O$35,9,FALSE)*(1+P41),IF(AND(O41=N41,N41&lt;Q41,E41='2. AWARDS'!G$7),VLOOKUP(F41,'2. AWARDS'!$C$9:$O$35,10,FALSE)*(1+P41),IF(AND(O41=N41,N41&lt;Q41,E41='2. AWARDS'!H$7),VLOOKUP(F41,'2. AWARDS'!$C$9:$O$35,11,FALSE)*(1+P41),IF(AND(O41=N41,N41&lt;Q41,E41='2. AWARDS'!I$7),VLOOKUP(F41,'2. AWARDS'!$C$9:$O$35,12,FALSE)*(1+P41),IF(AND(O41=N41,N41&lt;Q41,E41='2. AWARDS'!J$7),VLOOKUP(F41,'2. AWARDS'!$C$9:$O$35,13,FALSE)*(1+P41),IF(AND(O41=Q41,N41&gt;Q41),X41*(1+P41)*(1+(R41/9)),IF(AND(E41='2. AWARDS'!F$7,O41&gt;N41,O41&lt;Q41,VLOOKUP(F41,'2. AWARDS'!$C$9:$O$35,9,FALSE)&lt;&gt;0),VLOOKUP(F41,'2. AWARDS'!$C$9:$O$35,9,FALSE)*(1+P41),IF(AND(E41='2. AWARDS'!G$7,O41&gt;N41,O41&lt;Q41,VLOOKUP(F41,'2. AWARDS'!$C$9:$O$35,10,FALSE)&lt;&gt;0),VLOOKUP(F41,'2. AWARDS'!$C$9:$O$35,10,FALSE)*(1+P41),IF(AND(E41='2. AWARDS'!H$7,O41&gt;N41,O41&lt;Q41,VLOOKUP(F41,'2. AWARDS'!$C$9:$O$35,11,FALSE)&lt;&gt;0),VLOOKUP(F41,'2. AWARDS'!$C$9:$O$35,11,FALSE)*(1+P41),IF(AND(E41='2. AWARDS'!I$7,O41&gt;N41,O41&lt;Q41,VLOOKUP(F41,'2. AWARDS'!$C$9:$O$35,12,FALSE)&lt;&gt;0),VLOOKUP(F41,'2. AWARDS'!$C$9:$O$35,12,FALSE)*(1+P41),IF(AND(E41='2. AWARDS'!J$7,O41&gt;N41,O41&lt;Q41,VLOOKUP(F41,'2. AWARDS'!$C$9:$O$35,13,FALSE)&lt;&gt;0),VLOOKUP(F41,'2. AWARDS'!$C$9:$O$35,13,FALSE)*(1+P41),X41*(1+P41))))))))))))))))))))))))))))))))))</f>
        <v>#N/A</v>
      </c>
      <c r="AA41" s="661" t="e">
        <f t="shared" si="2"/>
        <v>#N/A</v>
      </c>
      <c r="AB41" s="683"/>
      <c r="AC41" s="774"/>
      <c r="AD41" s="774"/>
      <c r="AE41" s="774"/>
      <c r="AF41" s="781">
        <f t="shared" si="9"/>
        <v>0</v>
      </c>
      <c r="AG41" s="781" t="e">
        <f>HLOOKUP(E41,'2. AWARDS'!$F$7:$J$40,32,FALSE)/5*HLOOKUP(E41,'2. AWARDS'!$F$7:$J$40,31,FALSE)*MAX(W41:AA41)*M41*HLOOKUP(E41,'2. AWARDS'!$F$7:$J$40,34,FALSE)*L41/(38*2)</f>
        <v>#N/A</v>
      </c>
      <c r="AH41" s="783" t="e">
        <f>((HLOOKUP(E41,'2. AWARDS'!$F$7:$J$42,36,FALSE)/HLOOKUP(E41,'2. AWARDS'!$F$7:$J$42,35,FALSE)*HLOOKUP(E41,'2. AWARDS'!$F$7:$J$45,39,FALSE))/(HLOOKUP(E41,'2. AWARDS'!$F$7:$J$45,31,FALSE)*2)*L41*M41*HLOOKUP(E41,'2. AWARDS'!$F$7:$J$45,31,FALSE)*MAX(W41:AA41))</f>
        <v>#N/A</v>
      </c>
      <c r="AI41" s="474"/>
      <c r="AJ41" s="804"/>
      <c r="AK41" s="801"/>
      <c r="AL41" s="801"/>
      <c r="AM41" s="802"/>
      <c r="AN41" s="805"/>
      <c r="AO41" s="836">
        <f>IF(AJ41="YES",HLOOKUP(E41,'2. AWARDS'!$F$7:$J$38,32,FALSE)/5*HLOOKUP(E41,'2. AWARDS'!$F$7:$J$37,31,FALSE)*L41/(HLOOKUP(E41,'2. AWARDS'!$F$7:$J$37,31,FALSE)*2)*M41*MAX(W41:AA41)*(1+HLOOKUP(E41,'2. AWARDS'!$F$7:$J$43,37,FALSE))*(1-AM41),0)</f>
        <v>0</v>
      </c>
      <c r="AP41" s="836">
        <f>IF(AK41="YES",HLOOKUP(E41,'2. AWARDS'!$F$7:$J$39,33,FALSE)/5*HLOOKUP(E41,'2. AWARDS'!$F$7:$J$37,31,FALSE)*L41/(HLOOKUP(E41,'2. AWARDS'!$F$7:$J$37,31,FALSE)*2)*M41*MAX(W41:AA41)*(1+HLOOKUP(E41,'2. AWARDS'!$F$7:$J$43,37,FALSE))*(1-AM41),0)</f>
        <v>0</v>
      </c>
      <c r="AQ41" s="838">
        <f>IF(AL41="YES",HLOOKUP(E41,'2. AWARDS'!$F$7:$J$47,40,FALSE)/5*HLOOKUP(E41,'2. AWARDS'!$F$7:$J$37,31,FALSE)*L41/(HLOOKUP(E41,'2. AWARDS'!$F$7:$J$37,31,FALSE)*2)*M41*MAX(W41:AA41)*(1+HLOOKUP(E41,'2. AWARDS'!$F$7:$J$43,37,FALSE))*(1-AM41),0)</f>
        <v>0</v>
      </c>
      <c r="AR41" s="839">
        <f>(IF(AJ41="YES",HLOOKUP(E41,'2. AWARDS'!$F$7:$J$39,32,FALSE),0)+IF(AK41="YES",HLOOKUP(E41,'2. AWARDS'!$F$7:$J$39,33,FALSE),0)+IF(AL41="YES",HLOOKUP(E41,'2. AWARDS'!$F$7:$J$47,40,FALSE),0))*L41/76*7.6*AM41*AN41*M41</f>
        <v>0</v>
      </c>
      <c r="AS41" s="683"/>
      <c r="AT41" s="215">
        <f>'1. KEY DATA'!J$29</f>
        <v>0</v>
      </c>
      <c r="AU41" s="218">
        <f>'1. KEY DATA'!J$30</f>
        <v>0.09</v>
      </c>
      <c r="AV41" s="502"/>
      <c r="AW41" s="1104">
        <f t="shared" si="3"/>
        <v>0</v>
      </c>
      <c r="AX41" s="176"/>
      <c r="AY41" s="173"/>
      <c r="AZ41" s="452">
        <f t="shared" si="4"/>
        <v>0</v>
      </c>
      <c r="BA41" s="405" t="str">
        <f t="shared" si="11"/>
        <v>-</v>
      </c>
      <c r="BB41" s="406" t="str">
        <f t="shared" si="11"/>
        <v>-</v>
      </c>
      <c r="BC41" s="406" t="str">
        <f t="shared" si="11"/>
        <v>-</v>
      </c>
      <c r="BD41" s="406" t="str">
        <f t="shared" si="11"/>
        <v>-</v>
      </c>
      <c r="BE41" s="406" t="str">
        <f t="shared" si="11"/>
        <v>-</v>
      </c>
      <c r="BF41" s="406" t="str">
        <f t="shared" si="11"/>
        <v>-</v>
      </c>
      <c r="BG41" s="406" t="str">
        <f t="shared" si="11"/>
        <v>-</v>
      </c>
      <c r="BH41" s="406" t="str">
        <f t="shared" si="11"/>
        <v>-</v>
      </c>
      <c r="BI41" s="406" t="str">
        <f t="shared" si="11"/>
        <v>-</v>
      </c>
      <c r="BJ41" s="406" t="str">
        <f t="shared" si="11"/>
        <v>-</v>
      </c>
      <c r="BK41" s="406" t="str">
        <f t="shared" si="11"/>
        <v>-</v>
      </c>
      <c r="BL41" s="406" t="str">
        <f t="shared" si="11"/>
        <v>-</v>
      </c>
      <c r="BM41" s="406" t="str">
        <f t="shared" si="11"/>
        <v>-</v>
      </c>
      <c r="BN41" s="406" t="str">
        <f t="shared" si="11"/>
        <v>-</v>
      </c>
      <c r="BO41" s="407" t="str">
        <f t="shared" si="11"/>
        <v>-</v>
      </c>
      <c r="BP41" s="1539"/>
    </row>
    <row r="42" spans="1:69" s="9" customFormat="1">
      <c r="B42" s="506"/>
      <c r="C42" s="80"/>
      <c r="D42" s="699">
        <f t="shared" si="1"/>
        <v>0</v>
      </c>
      <c r="E42" s="626"/>
      <c r="F42" s="652"/>
      <c r="G42" s="702"/>
      <c r="H42" s="693"/>
      <c r="I42" s="694"/>
      <c r="J42" s="1113"/>
      <c r="K42" s="1114"/>
      <c r="L42" s="763"/>
      <c r="M42" s="689"/>
      <c r="N42" s="629"/>
      <c r="O42" s="629"/>
      <c r="P42" s="638">
        <f t="shared" si="6"/>
        <v>0.03</v>
      </c>
      <c r="Q42" s="629"/>
      <c r="R42" s="673" t="str">
        <f t="shared" si="7"/>
        <v>-</v>
      </c>
      <c r="S42" s="649"/>
      <c r="T42" s="647"/>
      <c r="U42" s="827"/>
      <c r="V42" s="670"/>
      <c r="W42" s="798">
        <f t="shared" si="8"/>
        <v>0</v>
      </c>
      <c r="X42" s="656">
        <f>IF(OR(E42=0,F42=0),0,IF(E42='2. AWARDS'!F$7,VLOOKUP(F42,'2. AWARDS'!$C$9:$F$35,4,FALSE),IF(E42='2. AWARDS'!G$7,VLOOKUP(F42,'2. AWARDS'!$C$9:$G$35,5,FALSE),IF(E42='2. AWARDS'!H$7,VLOOKUP(F42,'2. AWARDS'!$C$9:$H$35,6,FALSE),IF(E42='2. AWARDS'!I$7,VLOOKUP(F42,'2. AWARDS'!$C$9:$I$35,7,FALSE),VLOOKUP(F42,'2. AWARDS'!$C$9:$J$35,8,FALSE))))))</f>
        <v>0</v>
      </c>
      <c r="Y42" s="657">
        <f>IF(OR(E42=0,F42=0),0,IF(AND(N42=0,E42='2. AWARDS'!F$7,VLOOKUP(F42,'2. AWARDS'!$C$9:$O$35,9,FALSE)&lt;&gt;0),"date missing",IF(AND(N42=0,E42='2. AWARDS'!G$7,VLOOKUP(F42,'2. AWARDS'!$C$9:$O$35,10,FALSE)&lt;&gt;0),"date missing",IF(AND(N42=0,E42='2. AWARDS'!H$7,VLOOKUP(F42,'2. AWARDS'!$C$9:$O$35,11,FALSE)&lt;&gt;0),"date missing",IF(AND(N42=0,E42='2. AWARDS'!I$7,VLOOKUP(F42,'2. AWARDS'!$C$9:$O$35,12,FALSE)&lt;&gt;0),"date missing",IF(AND(N42=0,E42='2. AWARDS'!J$7,VLOOKUP(F42,'2. AWARDS'!$C$9:$O$35,13,FALSE)&lt;&gt;0),"date missing",IF(N42=0,0,IF(OR(N42=MIN(O42,Q42),AND(N42&lt;O42,N42&lt;Q42,N42&gt;0)),IF(E42='2. AWARDS'!F$7,VLOOKUP(F42,'2. AWARDS'!$C$9:$O$35,9,FALSE),IF(E42='2. AWARDS'!G$7,VLOOKUP(F42,'2. AWARDS'!$C$9:$O$35,10,FALSE),IF(E42='2. AWARDS'!H$7,VLOOKUP(F42,'2. AWARDS'!$C$9:$O$35,11,FALSE),IF(E42='2. AWARDS'!I$7,VLOOKUP(F42,'2. AWARDS'!$C$9:$O$35,12,FALSE),IF(E42='2. AWARDS'!J$7,VLOOKUP(F42,'2. AWARDS'!$C$9:$O$35,13,FALSE)))))),IF(AND(N42&gt;O42,N42&lt;Q42),IF(E42='2. AWARDS'!F$7,(1+P42)*VLOOKUP(F42,'2. AWARDS'!$C$9:$O$35,9,FALSE),IF(E42='2. AWARDS'!G$7,(1+P42)*VLOOKUP(F42,'2. AWARDS'!$C$9:$O$35,10,FALSE),IF(E42='2. AWARDS'!H$7,(1+P42)*VLOOKUP(F42,'2. AWARDS'!$C$9:$O$35,11,FALSE),IF(E42='2. AWARDS'!I$7,(1+P42)*VLOOKUP(F42,'2. AWARDS'!$C$9:$O$35,12,FALSE),IF(E42='2. AWARDS'!J$7,(1+P42)*VLOOKUP(F42,'2. AWARDS'!$C$9:$O$35,13,FALSE)))))),IF(AND(N42&lt;O42,N42&gt;Q42),IF(E42='2. AWARDS'!F$7,(1+(R42/9))*VLOOKUP(F42,'2. AWARDS'!$C$9:$O$35,9,FALSE),IF(E42='2. AWARDS'!G$7,(1+(R42/9))*VLOOKUP(F42,'2. AWARDS'!$C$9:$O$35,10,FALSE),IF(E42='2. AWARDS'!H$7,(1+(R42/9))*VLOOKUP(F42,'2. AWARDS'!$C$9:$O$35,11,FALSE),IF(E42='2. AWARDS'!I$7,(1+(R42/9))*VLOOKUP(F42,'2. AWARDS'!$C$9:$O$35,12,FALSE),IF(E42='2. AWARDS'!J$7,(1+(R42/9))*VLOOKUP(F42,'2. AWARDS'!$C$9:$O$35,13,FALSE)))))),IF(OR(N42=MAX(O42,Q42),AND(N42&gt;O42,N42&gt;Q42)),IF(E42='2. AWARDS'!F$7,((1+(R42/9))*(1+P42))*VLOOKUP(F42,'2. AWARDS'!$C$9:$O$35,9,FALSE),IF(E42='2. AWARDS'!G$7,((1+(R42/9))*(1+P42))*VLOOKUP(F42,'2. AWARDS'!$C$9:$O$35,10,FALSE),IF(E42='2. AWARDS'!H$7,((1+(R42/9))*(1+P42))*VLOOKUP(F42,'2. AWARDS'!$C$9:$O$35,11,FALSE),IF(E42='2. AWARDS'!I$7,((1+(R42/9))*(1+P42))*VLOOKUP(F42,'2. AWARDS'!$C$9:$O$35,12,FALSE),IF(E42='2. AWARDS'!J$7,((1+(R42/9))*(1+P42))*VLOOKUP(F42,'2. AWARDS'!$C$9:$O$35,13,FALSE)))))),"?")))))))))))</f>
        <v>0</v>
      </c>
      <c r="Z42" s="656" t="e">
        <f>IF(AND(E42='2. AWARDS'!F$7,O42&gt;N42,O42&gt;Q42,VLOOKUP(F42,'2. AWARDS'!$C$9:$O$35,9,FALSE)&lt;&gt;0),VLOOKUP(F42,'2. AWARDS'!$C$9:$O$35,9,FALSE)*(1+P42)*(1+(R42/9)),IF(AND(E42='2. AWARDS'!F$7,O42&gt;N42,O42&gt;Q42,VLOOKUP(F42,'2. AWARDS'!$C$9:$O$35,9,FALSE)=0),X42*(1+P42)*(1+(R42/9)),IF(AND(E42='2. AWARDS'!G$7,O42&gt;N42,O42&gt;Q42,VLOOKUP(F42,'2. AWARDS'!$C$9:$O$35,10,FALSE)&lt;&gt;0),VLOOKUP(F42,'2. AWARDS'!$C$9:$O$35,10,FALSE)*(1+P42)*(1+(R42/9)),IF(AND(E42='2. AWARDS'!G$7,O42&gt;N42,O42&gt;Q42,VLOOKUP(F42,'2. AWARDS'!$C$9:$O$35,10,FALSE)=0),X42*(1+P42)*(1+(R42/9)),IF(AND(E42='2. AWARDS'!H$7,O42&gt;N42,O42&gt;Q42,VLOOKUP(F42,'2. AWARDS'!$C$9:$O$35,11,FALSE)&lt;&gt;0),VLOOKUP(F42,'2. AWARDS'!$C$9:$O$35,11,FALSE)*(1+P42)*(1+(R42/9)),IF(AND(E42='2. AWARDS'!H$7,O42&gt;N42,O42&gt;Q42,VLOOKUP(F42,'2. AWARDS'!$C$9:$O$35,11,FALSE)=0),X42*(1+P42)*(1+(R42/9)),IF(AND(E42='2. AWARDS'!I$7,O42&gt;N42,O42&gt;Q42,VLOOKUP(F42,'2. AWARDS'!$C$9:$O$35,12,FALSE)&lt;&gt;0),VLOOKUP(F42,'2. AWARDS'!$C$9:$O$35,12,FALSE)*(1+P42)*(1+(R42/9)),IF(AND(E42='2. AWARDS'!I$7,O42&gt;N42,O42&gt;Q42,VLOOKUP(F42,'2. AWARDS'!$C$9:$O$35,12,FALSE)=0),X42*(1+P42)*(1+(R42/9)),IF(AND(E42='2. AWARDS'!J$7,O42&gt;N42,O42&gt;Q42,VLOOKUP(F42,'2. AWARDS'!$C$9:$O$35,13,FALSE)&lt;&gt;0),VLOOKUP(F42,'2. AWARDS'!$C$9:$O$35,13,FALSE)*(1+P42)*(1+(R42/9)),IF(AND(E42='2. AWARDS'!J$7,O42&gt;N42,O42&gt;Q42,VLOOKUP(F42,'2. AWARDS'!$C$9:$O$35,13,FALSE)=0),X42*(1+P42)*(1+(R42/9)),IF(AND(O42&lt;N42,O42&gt;Q42),X42*(1+P42)*(1+(R42/9)),IF(AND(E42='2. AWARDS'!F$7,O42=MAX(N42,Q42),VLOOKUP(F42,'2. AWARDS'!$C$9:$O$35,9,FALSE)&lt;&gt;0),VLOOKUP(F42,'2. AWARDS'!$C$9:$O$35,9,FALSE)*(1+P42)*(1+(R42/9)),IF(AND(E42='2. AWARDS'!F$7,O42=MAX(N42,Q42),VLOOKUP(F42,'2. AWARDS'!$C$9:$O$35,9,FALSE)=0),X42*(1+P42)*(1+(R42/9)),IF(AND(E42='2. AWARDS'!G$7,O42=MAX(N42,Q42),VLOOKUP(F42,'2. AWARDS'!$C$9:$O$35,10,FALSE)&lt;&gt;0),VLOOKUP(F42,'2. AWARDS'!$C$9:$O$35,10,FALSE)*(1+P42)*(1+(R42/9)),IF(AND(E42='2. AWARDS'!G$7,O42=MAX(N42,Q42),VLOOKUP(F42,'2. AWARDS'!$C$9:$O$35,10,FALSE)=0),X42*(1+P42)*(1+(R42/9)),IF(AND(E42='2. AWARDS'!H$7,O42=MAX(N42,Q42),VLOOKUP(F42,'2. AWARDS'!$C$9:$O$35,11,FALSE)&lt;&gt;0),VLOOKUP(F42,'2. AWARDS'!$C$9:$O$35,11,FALSE)*(1+P42)*(1+(R42/9)),IF(AND(E42='2. AWARDS'!H$7,O42=MAX(N42,Q42),VLOOKUP(F42,'2. AWARDS'!$C$9:$O$35,11,FALSE)=0),X42*(1+P42)*(1+(R42/9)),IF(AND(E42='2. AWARDS'!I$7,O42=MAX(N42,Q42),VLOOKUP(F42,'2. AWARDS'!$C$9:$O$35,12,FALSE)&lt;&gt;0),VLOOKUP(F42,'2. AWARDS'!$C$9:$O$35,12,FALSE)*(1+P42)*(1+(R42/9)),IF(AND(E42='2. AWARDS'!I$7,O42=MAX(N42,Q42),VLOOKUP(F42,'2. AWARDS'!$C$9:$O$35,12,FALSE)=0),X42*(1+P42)*(1+(R42/9)),IF(AND(E42='2. AWARDS'!J$7,O42=MAX(N42,Q42),VLOOKUP(F42,'2. AWARDS'!$C$9:$O$35,13,FALSE)&lt;&gt;0),VLOOKUP(F42,'2. AWARDS'!$C$9:$O$35,13,FALSE)*(1+P42)*(1+(R42/9)),IF(AND(E42='2. AWARDS'!J$7,O42=MAX(N42,Q42),VLOOKUP(F42,'2. AWARDS'!$C$9:$O$35,13,FALSE)=0),X42*(1+P42)*(1+(R42/9)),IF(AND(O42&lt;N42,O42&lt;Q42),X42*(1+P42),IF(AND(O42=N42,N42&lt;Q42,E42='2. AWARDS'!F$7),VLOOKUP(F42,'2. AWARDS'!$C$9:$O$35,9,FALSE)*(1+P42),IF(AND(O42=N42,N42&lt;Q42,E42='2. AWARDS'!G$7),VLOOKUP(F42,'2. AWARDS'!$C$9:$O$35,10,FALSE)*(1+P42),IF(AND(O42=N42,N42&lt;Q42,E42='2. AWARDS'!H$7),VLOOKUP(F42,'2. AWARDS'!$C$9:$O$35,11,FALSE)*(1+P42),IF(AND(O42=N42,N42&lt;Q42,E42='2. AWARDS'!I$7),VLOOKUP(F42,'2. AWARDS'!$C$9:$O$35,12,FALSE)*(1+P42),IF(AND(O42=N42,N42&lt;Q42,E42='2. AWARDS'!J$7),VLOOKUP(F42,'2. AWARDS'!$C$9:$O$35,13,FALSE)*(1+P42),IF(AND(O42=Q42,N42&gt;Q42),X42*(1+P42)*(1+(R42/9)),IF(AND(E42='2. AWARDS'!F$7,O42&gt;N42,O42&lt;Q42,VLOOKUP(F42,'2. AWARDS'!$C$9:$O$35,9,FALSE)&lt;&gt;0),VLOOKUP(F42,'2. AWARDS'!$C$9:$O$35,9,FALSE)*(1+P42),IF(AND(E42='2. AWARDS'!G$7,O42&gt;N42,O42&lt;Q42,VLOOKUP(F42,'2. AWARDS'!$C$9:$O$35,10,FALSE)&lt;&gt;0),VLOOKUP(F42,'2. AWARDS'!$C$9:$O$35,10,FALSE)*(1+P42),IF(AND(E42='2. AWARDS'!H$7,O42&gt;N42,O42&lt;Q42,VLOOKUP(F42,'2. AWARDS'!$C$9:$O$35,11,FALSE)&lt;&gt;0),VLOOKUP(F42,'2. AWARDS'!$C$9:$O$35,11,FALSE)*(1+P42),IF(AND(E42='2. AWARDS'!I$7,O42&gt;N42,O42&lt;Q42,VLOOKUP(F42,'2. AWARDS'!$C$9:$O$35,12,FALSE)&lt;&gt;0),VLOOKUP(F42,'2. AWARDS'!$C$9:$O$35,12,FALSE)*(1+P42),IF(AND(E42='2. AWARDS'!J$7,O42&gt;N42,O42&lt;Q42,VLOOKUP(F42,'2. AWARDS'!$C$9:$O$35,13,FALSE)&lt;&gt;0),VLOOKUP(F42,'2. AWARDS'!$C$9:$O$35,13,FALSE)*(1+P42),X42*(1+P42))))))))))))))))))))))))))))))))))</f>
        <v>#N/A</v>
      </c>
      <c r="AA42" s="661" t="e">
        <f t="shared" si="2"/>
        <v>#N/A</v>
      </c>
      <c r="AB42" s="683"/>
      <c r="AC42" s="774"/>
      <c r="AD42" s="774"/>
      <c r="AE42" s="774"/>
      <c r="AF42" s="781">
        <f t="shared" si="9"/>
        <v>0</v>
      </c>
      <c r="AG42" s="781" t="e">
        <f>HLOOKUP(E42,'2. AWARDS'!$F$7:$J$40,32,FALSE)/5*HLOOKUP(E42,'2. AWARDS'!$F$7:$J$40,31,FALSE)*MAX(W42:AA42)*M42*HLOOKUP(E42,'2. AWARDS'!$F$7:$J$40,34,FALSE)*L42/(38*2)</f>
        <v>#N/A</v>
      </c>
      <c r="AH42" s="783" t="e">
        <f>((HLOOKUP(E42,'2. AWARDS'!$F$7:$J$42,36,FALSE)/HLOOKUP(E42,'2. AWARDS'!$F$7:$J$42,35,FALSE)*HLOOKUP(E42,'2. AWARDS'!$F$7:$J$45,39,FALSE))/(HLOOKUP(E42,'2. AWARDS'!$F$7:$J$45,31,FALSE)*2)*L42*M42*HLOOKUP(E42,'2. AWARDS'!$F$7:$J$45,31,FALSE)*MAX(W42:AA42))</f>
        <v>#N/A</v>
      </c>
      <c r="AI42" s="474"/>
      <c r="AJ42" s="804"/>
      <c r="AK42" s="801"/>
      <c r="AL42" s="801"/>
      <c r="AM42" s="802"/>
      <c r="AN42" s="805"/>
      <c r="AO42" s="836">
        <f>IF(AJ42="YES",HLOOKUP(E42,'2. AWARDS'!$F$7:$J$38,32,FALSE)/5*HLOOKUP(E42,'2. AWARDS'!$F$7:$J$37,31,FALSE)*L42/(HLOOKUP(E42,'2. AWARDS'!$F$7:$J$37,31,FALSE)*2)*M42*MAX(W42:AA42)*(1+HLOOKUP(E42,'2. AWARDS'!$F$7:$J$43,37,FALSE))*(1-AM42),0)</f>
        <v>0</v>
      </c>
      <c r="AP42" s="836">
        <f>IF(AK42="YES",HLOOKUP(E42,'2. AWARDS'!$F$7:$J$39,33,FALSE)/5*HLOOKUP(E42,'2. AWARDS'!$F$7:$J$37,31,FALSE)*L42/(HLOOKUP(E42,'2. AWARDS'!$F$7:$J$37,31,FALSE)*2)*M42*MAX(W42:AA42)*(1+HLOOKUP(E42,'2. AWARDS'!$F$7:$J$43,37,FALSE))*(1-AM42),0)</f>
        <v>0</v>
      </c>
      <c r="AQ42" s="838">
        <f>IF(AL42="YES",HLOOKUP(E42,'2. AWARDS'!$F$7:$J$47,40,FALSE)/5*HLOOKUP(E42,'2. AWARDS'!$F$7:$J$37,31,FALSE)*L42/(HLOOKUP(E42,'2. AWARDS'!$F$7:$J$37,31,FALSE)*2)*M42*MAX(W42:AA42)*(1+HLOOKUP(E42,'2. AWARDS'!$F$7:$J$43,37,FALSE))*(1-AM42),0)</f>
        <v>0</v>
      </c>
      <c r="AR42" s="839">
        <f>(IF(AJ42="YES",HLOOKUP(E42,'2. AWARDS'!$F$7:$J$39,32,FALSE),0)+IF(AK42="YES",HLOOKUP(E42,'2. AWARDS'!$F$7:$J$39,33,FALSE),0)+IF(AL42="YES",HLOOKUP(E42,'2. AWARDS'!$F$7:$J$47,40,FALSE),0))*L42/76*7.6*AM42*AN42*M42</f>
        <v>0</v>
      </c>
      <c r="AS42" s="683"/>
      <c r="AT42" s="215">
        <f>'1. KEY DATA'!J$29</f>
        <v>0</v>
      </c>
      <c r="AU42" s="218">
        <f>'1. KEY DATA'!J$30</f>
        <v>0.09</v>
      </c>
      <c r="AV42" s="502"/>
      <c r="AW42" s="1104">
        <f t="shared" si="3"/>
        <v>0</v>
      </c>
      <c r="AX42" s="176"/>
      <c r="AY42" s="173"/>
      <c r="AZ42" s="452">
        <f t="shared" si="4"/>
        <v>0</v>
      </c>
      <c r="BA42" s="405" t="str">
        <f t="shared" si="11"/>
        <v>-</v>
      </c>
      <c r="BB42" s="406" t="str">
        <f t="shared" si="11"/>
        <v>-</v>
      </c>
      <c r="BC42" s="406" t="str">
        <f t="shared" si="11"/>
        <v>-</v>
      </c>
      <c r="BD42" s="406" t="str">
        <f t="shared" si="11"/>
        <v>-</v>
      </c>
      <c r="BE42" s="406" t="str">
        <f t="shared" si="11"/>
        <v>-</v>
      </c>
      <c r="BF42" s="406" t="str">
        <f t="shared" si="11"/>
        <v>-</v>
      </c>
      <c r="BG42" s="406" t="str">
        <f t="shared" si="11"/>
        <v>-</v>
      </c>
      <c r="BH42" s="406" t="str">
        <f t="shared" si="11"/>
        <v>-</v>
      </c>
      <c r="BI42" s="406" t="str">
        <f t="shared" si="11"/>
        <v>-</v>
      </c>
      <c r="BJ42" s="406" t="str">
        <f t="shared" si="11"/>
        <v>-</v>
      </c>
      <c r="BK42" s="406" t="str">
        <f t="shared" si="11"/>
        <v>-</v>
      </c>
      <c r="BL42" s="406" t="str">
        <f t="shared" si="11"/>
        <v>-</v>
      </c>
      <c r="BM42" s="406" t="str">
        <f t="shared" si="11"/>
        <v>-</v>
      </c>
      <c r="BN42" s="406" t="str">
        <f t="shared" si="11"/>
        <v>-</v>
      </c>
      <c r="BO42" s="407" t="str">
        <f t="shared" si="11"/>
        <v>-</v>
      </c>
      <c r="BP42" s="1539"/>
    </row>
    <row r="43" spans="1:69" s="9" customFormat="1" ht="15.75" thickBot="1">
      <c r="B43" s="507"/>
      <c r="C43" s="80"/>
      <c r="D43" s="700">
        <f t="shared" si="1"/>
        <v>0</v>
      </c>
      <c r="E43" s="627"/>
      <c r="F43" s="653"/>
      <c r="G43" s="687"/>
      <c r="H43" s="695"/>
      <c r="I43" s="846"/>
      <c r="J43" s="1129"/>
      <c r="K43" s="1130"/>
      <c r="L43" s="764"/>
      <c r="M43" s="761"/>
      <c r="N43" s="630"/>
      <c r="O43" s="630"/>
      <c r="P43" s="639">
        <f t="shared" si="6"/>
        <v>0.03</v>
      </c>
      <c r="Q43" s="630"/>
      <c r="R43" s="847" t="str">
        <f t="shared" si="7"/>
        <v>-</v>
      </c>
      <c r="S43" s="649"/>
      <c r="T43" s="848"/>
      <c r="U43" s="849"/>
      <c r="V43" s="850"/>
      <c r="W43" s="851">
        <f t="shared" si="8"/>
        <v>0</v>
      </c>
      <c r="X43" s="852">
        <f>IF(OR(E43=0,F43=0),0,IF(E43='2. AWARDS'!F$7,VLOOKUP(F43,'2. AWARDS'!$C$9:$F$35,4,FALSE),IF(E43='2. AWARDS'!G$7,VLOOKUP(F43,'2. AWARDS'!$C$9:$G$35,5,FALSE),IF(E43='2. AWARDS'!H$7,VLOOKUP(F43,'2. AWARDS'!$C$9:$H$35,6,FALSE),IF(E43='2. AWARDS'!I$7,VLOOKUP(F43,'2. AWARDS'!$C$9:$I$35,7,FALSE),VLOOKUP(F43,'2. AWARDS'!$C$9:$J$35,8,FALSE))))))</f>
        <v>0</v>
      </c>
      <c r="Y43" s="1106">
        <f>IF(OR(E43=0,F43=0),0,IF(AND(N43=0,E43='2. AWARDS'!F$7,VLOOKUP(F43,'2. AWARDS'!$C$9:$O$35,9,FALSE)&lt;&gt;0),"date missing",IF(AND(N43=0,E43='2. AWARDS'!G$7,VLOOKUP(F43,'2. AWARDS'!$C$9:$O$35,10,FALSE)&lt;&gt;0),"date missing",IF(AND(N43=0,E43='2. AWARDS'!H$7,VLOOKUP(F43,'2. AWARDS'!$C$9:$O$35,11,FALSE)&lt;&gt;0),"date missing",IF(AND(N43=0,E43='2. AWARDS'!I$7,VLOOKUP(F43,'2. AWARDS'!$C$9:$O$35,12,FALSE)&lt;&gt;0),"date missing",IF(AND(N43=0,E43='2. AWARDS'!J$7,VLOOKUP(F43,'2. AWARDS'!$C$9:$O$35,13,FALSE)&lt;&gt;0),"date missing",IF(N43=0,0,IF(OR(N43=MIN(O43,Q43),AND(N43&lt;O43,N43&lt;Q43,N43&gt;0)),IF(E43='2. AWARDS'!F$7,VLOOKUP(F43,'2. AWARDS'!$C$9:$O$35,9,FALSE),IF(E43='2. AWARDS'!G$7,VLOOKUP(F43,'2. AWARDS'!$C$9:$O$35,10,FALSE),IF(E43='2. AWARDS'!H$7,VLOOKUP(F43,'2. AWARDS'!$C$9:$O$35,11,FALSE),IF(E43='2. AWARDS'!I$7,VLOOKUP(F43,'2. AWARDS'!$C$9:$O$35,12,FALSE),IF(E43='2. AWARDS'!J$7,VLOOKUP(F43,'2. AWARDS'!$C$9:$O$35,13,FALSE)))))),IF(AND(N43&gt;O43,N43&lt;Q43),IF(E43='2. AWARDS'!F$7,(1+P43)*VLOOKUP(F43,'2. AWARDS'!$C$9:$O$35,9,FALSE),IF(E43='2. AWARDS'!G$7,(1+P43)*VLOOKUP(F43,'2. AWARDS'!$C$9:$O$35,10,FALSE),IF(E43='2. AWARDS'!H$7,(1+P43)*VLOOKUP(F43,'2. AWARDS'!$C$9:$O$35,11,FALSE),IF(E43='2. AWARDS'!I$7,(1+P43)*VLOOKUP(F43,'2. AWARDS'!$C$9:$O$35,12,FALSE),IF(E43='2. AWARDS'!J$7,(1+P43)*VLOOKUP(F43,'2. AWARDS'!$C$9:$O$35,13,FALSE)))))),IF(AND(N43&lt;O43,N43&gt;Q43),IF(E43='2. AWARDS'!F$7,(1+(R43/9))*VLOOKUP(F43,'2. AWARDS'!$C$9:$O$35,9,FALSE),IF(E43='2. AWARDS'!G$7,(1+(R43/9))*VLOOKUP(F43,'2. AWARDS'!$C$9:$O$35,10,FALSE),IF(E43='2. AWARDS'!H$7,(1+(R43/9))*VLOOKUP(F43,'2. AWARDS'!$C$9:$O$35,11,FALSE),IF(E43='2. AWARDS'!I$7,(1+(R43/9))*VLOOKUP(F43,'2. AWARDS'!$C$9:$O$35,12,FALSE),IF(E43='2. AWARDS'!J$7,(1+(R43/9))*VLOOKUP(F43,'2. AWARDS'!$C$9:$O$35,13,FALSE)))))),IF(OR(N43=MAX(O43,Q43),AND(N43&gt;O43,N43&gt;Q43)),IF(E43='2. AWARDS'!F$7,((1+(R43/9))*(1+P43))*VLOOKUP(F43,'2. AWARDS'!$C$9:$O$35,9,FALSE),IF(E43='2. AWARDS'!G$7,((1+(R43/9))*(1+P43))*VLOOKUP(F43,'2. AWARDS'!$C$9:$O$35,10,FALSE),IF(E43='2. AWARDS'!H$7,((1+(R43/9))*(1+P43))*VLOOKUP(F43,'2. AWARDS'!$C$9:$O$35,11,FALSE),IF(E43='2. AWARDS'!I$7,((1+(R43/9))*(1+P43))*VLOOKUP(F43,'2. AWARDS'!$C$9:$O$35,12,FALSE),IF(E43='2. AWARDS'!J$7,((1+(R43/9))*(1+P43))*VLOOKUP(F43,'2. AWARDS'!$C$9:$O$35,13,FALSE)))))),"?")))))))))))</f>
        <v>0</v>
      </c>
      <c r="Z43" s="852" t="e">
        <f>IF(AND(E43='2. AWARDS'!F$7,O43&gt;N43,O43&gt;Q43,VLOOKUP(F43,'2. AWARDS'!$C$9:$O$35,9,FALSE)&lt;&gt;0),VLOOKUP(F43,'2. AWARDS'!$C$9:$O$35,9,FALSE)*(1+P43)*(1+(R43/9)),IF(AND(E43='2. AWARDS'!F$7,O43&gt;N43,O43&gt;Q43,VLOOKUP(F43,'2. AWARDS'!$C$9:$O$35,9,FALSE)=0),X43*(1+P43)*(1+(R43/9)),IF(AND(E43='2. AWARDS'!G$7,O43&gt;N43,O43&gt;Q43,VLOOKUP(F43,'2. AWARDS'!$C$9:$O$35,10,FALSE)&lt;&gt;0),VLOOKUP(F43,'2. AWARDS'!$C$9:$O$35,10,FALSE)*(1+P43)*(1+(R43/9)),IF(AND(E43='2. AWARDS'!G$7,O43&gt;N43,O43&gt;Q43,VLOOKUP(F43,'2. AWARDS'!$C$9:$O$35,10,FALSE)=0),X43*(1+P43)*(1+(R43/9)),IF(AND(E43='2. AWARDS'!H$7,O43&gt;N43,O43&gt;Q43,VLOOKUP(F43,'2. AWARDS'!$C$9:$O$35,11,FALSE)&lt;&gt;0),VLOOKUP(F43,'2. AWARDS'!$C$9:$O$35,11,FALSE)*(1+P43)*(1+(R43/9)),IF(AND(E43='2. AWARDS'!H$7,O43&gt;N43,O43&gt;Q43,VLOOKUP(F43,'2. AWARDS'!$C$9:$O$35,11,FALSE)=0),X43*(1+P43)*(1+(R43/9)),IF(AND(E43='2. AWARDS'!I$7,O43&gt;N43,O43&gt;Q43,VLOOKUP(F43,'2. AWARDS'!$C$9:$O$35,12,FALSE)&lt;&gt;0),VLOOKUP(F43,'2. AWARDS'!$C$9:$O$35,12,FALSE)*(1+P43)*(1+(R43/9)),IF(AND(E43='2. AWARDS'!I$7,O43&gt;N43,O43&gt;Q43,VLOOKUP(F43,'2. AWARDS'!$C$9:$O$35,12,FALSE)=0),X43*(1+P43)*(1+(R43/9)),IF(AND(E43='2. AWARDS'!J$7,O43&gt;N43,O43&gt;Q43,VLOOKUP(F43,'2. AWARDS'!$C$9:$O$35,13,FALSE)&lt;&gt;0),VLOOKUP(F43,'2. AWARDS'!$C$9:$O$35,13,FALSE)*(1+P43)*(1+(R43/9)),IF(AND(E43='2. AWARDS'!J$7,O43&gt;N43,O43&gt;Q43,VLOOKUP(F43,'2. AWARDS'!$C$9:$O$35,13,FALSE)=0),X43*(1+P43)*(1+(R43/9)),IF(AND(O43&lt;N43,O43&gt;Q43),X43*(1+P43)*(1+(R43/9)),IF(AND(E43='2. AWARDS'!F$7,O43=MAX(N43,Q43),VLOOKUP(F43,'2. AWARDS'!$C$9:$O$35,9,FALSE)&lt;&gt;0),VLOOKUP(F43,'2. AWARDS'!$C$9:$O$35,9,FALSE)*(1+P43)*(1+(R43/9)),IF(AND(E43='2. AWARDS'!F$7,O43=MAX(N43,Q43),VLOOKUP(F43,'2. AWARDS'!$C$9:$O$35,9,FALSE)=0),X43*(1+P43)*(1+(R43/9)),IF(AND(E43='2. AWARDS'!G$7,O43=MAX(N43,Q43),VLOOKUP(F43,'2. AWARDS'!$C$9:$O$35,10,FALSE)&lt;&gt;0),VLOOKUP(F43,'2. AWARDS'!$C$9:$O$35,10,FALSE)*(1+P43)*(1+(R43/9)),IF(AND(E43='2. AWARDS'!G$7,O43=MAX(N43,Q43),VLOOKUP(F43,'2. AWARDS'!$C$9:$O$35,10,FALSE)=0),X43*(1+P43)*(1+(R43/9)),IF(AND(E43='2. AWARDS'!H$7,O43=MAX(N43,Q43),VLOOKUP(F43,'2. AWARDS'!$C$9:$O$35,11,FALSE)&lt;&gt;0),VLOOKUP(F43,'2. AWARDS'!$C$9:$O$35,11,FALSE)*(1+P43)*(1+(R43/9)),IF(AND(E43='2. AWARDS'!H$7,O43=MAX(N43,Q43),VLOOKUP(F43,'2. AWARDS'!$C$9:$O$35,11,FALSE)=0),X43*(1+P43)*(1+(R43/9)),IF(AND(E43='2. AWARDS'!I$7,O43=MAX(N43,Q43),VLOOKUP(F43,'2. AWARDS'!$C$9:$O$35,12,FALSE)&lt;&gt;0),VLOOKUP(F43,'2. AWARDS'!$C$9:$O$35,12,FALSE)*(1+P43)*(1+(R43/9)),IF(AND(E43='2. AWARDS'!I$7,O43=MAX(N43,Q43),VLOOKUP(F43,'2. AWARDS'!$C$9:$O$35,12,FALSE)=0),X43*(1+P43)*(1+(R43/9)),IF(AND(E43='2. AWARDS'!J$7,O43=MAX(N43,Q43),VLOOKUP(F43,'2. AWARDS'!$C$9:$O$35,13,FALSE)&lt;&gt;0),VLOOKUP(F43,'2. AWARDS'!$C$9:$O$35,13,FALSE)*(1+P43)*(1+(R43/9)),IF(AND(E43='2. AWARDS'!J$7,O43=MAX(N43,Q43),VLOOKUP(F43,'2. AWARDS'!$C$9:$O$35,13,FALSE)=0),X43*(1+P43)*(1+(R43/9)),IF(AND(O43&lt;N43,O43&lt;Q43),X43*(1+P43),IF(AND(O43=N43,N43&lt;Q43,E43='2. AWARDS'!F$7),VLOOKUP(F43,'2. AWARDS'!$C$9:$O$35,9,FALSE)*(1+P43),IF(AND(O43=N43,N43&lt;Q43,E43='2. AWARDS'!G$7),VLOOKUP(F43,'2. AWARDS'!$C$9:$O$35,10,FALSE)*(1+P43),IF(AND(O43=N43,N43&lt;Q43,E43='2. AWARDS'!H$7),VLOOKUP(F43,'2. AWARDS'!$C$9:$O$35,11,FALSE)*(1+P43),IF(AND(O43=N43,N43&lt;Q43,E43='2. AWARDS'!I$7),VLOOKUP(F43,'2. AWARDS'!$C$9:$O$35,12,FALSE)*(1+P43),IF(AND(O43=N43,N43&lt;Q43,E43='2. AWARDS'!J$7),VLOOKUP(F43,'2. AWARDS'!$C$9:$O$35,13,FALSE)*(1+P43),IF(AND(O43=Q43,N43&gt;Q43),X43*(1+P43)*(1+(R43/9)),IF(AND(E43='2. AWARDS'!F$7,O43&gt;N43,O43&lt;Q43,VLOOKUP(F43,'2. AWARDS'!$C$9:$O$35,9,FALSE)&lt;&gt;0),VLOOKUP(F43,'2. AWARDS'!$C$9:$O$35,9,FALSE)*(1+P43),IF(AND(E43='2. AWARDS'!G$7,O43&gt;N43,O43&lt;Q43,VLOOKUP(F43,'2. AWARDS'!$C$9:$O$35,10,FALSE)&lt;&gt;0),VLOOKUP(F43,'2. AWARDS'!$C$9:$O$35,10,FALSE)*(1+P43),IF(AND(E43='2. AWARDS'!H$7,O43&gt;N43,O43&lt;Q43,VLOOKUP(F43,'2. AWARDS'!$C$9:$O$35,11,FALSE)&lt;&gt;0),VLOOKUP(F43,'2. AWARDS'!$C$9:$O$35,11,FALSE)*(1+P43),IF(AND(E43='2. AWARDS'!I$7,O43&gt;N43,O43&lt;Q43,VLOOKUP(F43,'2. AWARDS'!$C$9:$O$35,12,FALSE)&lt;&gt;0),VLOOKUP(F43,'2. AWARDS'!$C$9:$O$35,12,FALSE)*(1+P43),IF(AND(E43='2. AWARDS'!J$7,O43&gt;N43,O43&lt;Q43,VLOOKUP(F43,'2. AWARDS'!$C$9:$O$35,13,FALSE)&lt;&gt;0),VLOOKUP(F43,'2. AWARDS'!$C$9:$O$35,13,FALSE)*(1+P43),X43*(1+P43))))))))))))))))))))))))))))))))))</f>
        <v>#N/A</v>
      </c>
      <c r="AA43" s="854" t="e">
        <f t="shared" si="2"/>
        <v>#N/A</v>
      </c>
      <c r="AB43" s="683"/>
      <c r="AC43" s="855"/>
      <c r="AD43" s="775"/>
      <c r="AE43" s="775"/>
      <c r="AF43" s="781">
        <f t="shared" si="9"/>
        <v>0</v>
      </c>
      <c r="AG43" s="781" t="e">
        <f>HLOOKUP(E43,'2. AWARDS'!$F$7:$J$40,32,FALSE)/5*HLOOKUP(E43,'2. AWARDS'!$F$7:$J$40,31,FALSE)*MAX(W43:AA43)*M43*HLOOKUP(E43,'2. AWARDS'!$F$7:$J$40,34,FALSE)*L43/(38*2)</f>
        <v>#N/A</v>
      </c>
      <c r="AH43" s="845" t="e">
        <f>((HLOOKUP(E43,'2. AWARDS'!$F$7:$J$42,36,FALSE)/HLOOKUP(E43,'2. AWARDS'!$F$7:$J$42,35,FALSE)*HLOOKUP(E43,'2. AWARDS'!$F$7:$J$45,39,FALSE))/(HLOOKUP(E43,'2. AWARDS'!$F$7:$J$45,31,FALSE)*2)*L43*M43*HLOOKUP(E43,'2. AWARDS'!$F$7:$J$45,31,FALSE)*MAX(W43:AA43))</f>
        <v>#N/A</v>
      </c>
      <c r="AI43" s="474"/>
      <c r="AJ43" s="806"/>
      <c r="AK43" s="807"/>
      <c r="AL43" s="807"/>
      <c r="AM43" s="856"/>
      <c r="AN43" s="809"/>
      <c r="AO43" s="857">
        <f>IF(AJ43="YES",HLOOKUP(E43,'2. AWARDS'!$F$7:$J$38,32,FALSE)/5*HLOOKUP(E43,'2. AWARDS'!$F$7:$J$37,31,FALSE)*L43/(HLOOKUP(E43,'2. AWARDS'!$F$7:$J$37,31,FALSE)*2)*M43*MAX(W43:AA43)*(1+HLOOKUP(E43,'2. AWARDS'!$F$7:$J$43,37,FALSE))*(1-AM43),0)</f>
        <v>0</v>
      </c>
      <c r="AP43" s="857">
        <f>IF(AK43="YES",HLOOKUP(E43,'2. AWARDS'!$F$7:$J$39,33,FALSE)/5*HLOOKUP(E43,'2. AWARDS'!$F$7:$J$37,31,FALSE)*L43/(HLOOKUP(E43,'2. AWARDS'!$F$7:$J$37,31,FALSE)*2)*M43*MAX(W43:AA43)*(1+HLOOKUP(E43,'2. AWARDS'!$F$7:$J$43,37,FALSE))*(1-AM43),0)</f>
        <v>0</v>
      </c>
      <c r="AQ43" s="841">
        <f>IF(AL43="YES",HLOOKUP(E43,'2. AWARDS'!$F$7:$J$47,40,FALSE)/5*HLOOKUP(E43,'2. AWARDS'!$F$7:$J$37,31,FALSE)*L43/(HLOOKUP(E43,'2. AWARDS'!$F$7:$J$37,31,FALSE)*2)*M43*MAX(W43:AA43)*(1+HLOOKUP(E43,'2. AWARDS'!$F$7:$J$43,37,FALSE))*(1-AM43),0)</f>
        <v>0</v>
      </c>
      <c r="AR43" s="839">
        <f>(IF(AJ43="YES",HLOOKUP(E43,'2. AWARDS'!$F$7:$J$39,32,FALSE),0)+IF(AK43="YES",HLOOKUP(E43,'2. AWARDS'!$F$7:$J$39,33,FALSE),0)+IF(AL43="YES",HLOOKUP(E43,'2. AWARDS'!$F$7:$J$47,40,FALSE),0))*L43/76*7.6*AM43*AN43*M43</f>
        <v>0</v>
      </c>
      <c r="AS43" s="683"/>
      <c r="AT43" s="859">
        <f>'1. KEY DATA'!J$29</f>
        <v>0</v>
      </c>
      <c r="AU43" s="860">
        <f>'1. KEY DATA'!J$30</f>
        <v>0.09</v>
      </c>
      <c r="AV43" s="502"/>
      <c r="AW43" s="343">
        <f t="shared" si="3"/>
        <v>0</v>
      </c>
      <c r="AX43" s="176"/>
      <c r="AY43" s="174"/>
      <c r="AZ43" s="452">
        <f t="shared" si="4"/>
        <v>0</v>
      </c>
      <c r="BA43" s="408" t="str">
        <f t="shared" si="11"/>
        <v>-</v>
      </c>
      <c r="BB43" s="409" t="str">
        <f t="shared" si="11"/>
        <v>-</v>
      </c>
      <c r="BC43" s="409" t="str">
        <f t="shared" si="11"/>
        <v>-</v>
      </c>
      <c r="BD43" s="409" t="str">
        <f t="shared" si="11"/>
        <v>-</v>
      </c>
      <c r="BE43" s="409" t="str">
        <f t="shared" si="11"/>
        <v>-</v>
      </c>
      <c r="BF43" s="409" t="str">
        <f t="shared" si="11"/>
        <v>-</v>
      </c>
      <c r="BG43" s="409" t="str">
        <f t="shared" si="11"/>
        <v>-</v>
      </c>
      <c r="BH43" s="409" t="str">
        <f t="shared" si="11"/>
        <v>-</v>
      </c>
      <c r="BI43" s="409" t="str">
        <f t="shared" si="11"/>
        <v>-</v>
      </c>
      <c r="BJ43" s="409" t="str">
        <f t="shared" si="11"/>
        <v>-</v>
      </c>
      <c r="BK43" s="409" t="str">
        <f t="shared" si="11"/>
        <v>-</v>
      </c>
      <c r="BL43" s="409" t="str">
        <f t="shared" si="11"/>
        <v>-</v>
      </c>
      <c r="BM43" s="409" t="str">
        <f t="shared" si="11"/>
        <v>-</v>
      </c>
      <c r="BN43" s="409" t="str">
        <f t="shared" si="11"/>
        <v>-</v>
      </c>
      <c r="BO43" s="410" t="str">
        <f t="shared" si="11"/>
        <v>-</v>
      </c>
      <c r="BP43" s="1539"/>
    </row>
    <row r="44" spans="1:69" ht="15.75" thickBot="1">
      <c r="B44" s="9"/>
      <c r="C44" s="9"/>
      <c r="D44" s="9"/>
      <c r="E44" s="9"/>
      <c r="F44" s="9"/>
      <c r="G44" s="9"/>
      <c r="H44" s="9"/>
      <c r="I44" s="9"/>
      <c r="J44" s="9"/>
      <c r="K44" s="9"/>
      <c r="L44" s="9"/>
      <c r="M44" s="9"/>
      <c r="N44" s="9"/>
      <c r="O44" s="9"/>
      <c r="P44" s="9"/>
      <c r="Q44" s="9"/>
      <c r="R44" s="9"/>
      <c r="S44" s="9"/>
      <c r="T44" s="9"/>
      <c r="U44" s="828"/>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181"/>
      <c r="AY44" s="454"/>
      <c r="AZ44" s="453">
        <f>SUM(AZ13:AZ43)</f>
        <v>0</v>
      </c>
      <c r="BA44" s="411">
        <f t="shared" ref="BA44:BO44" si="12">SUM(BA8:BA43)</f>
        <v>0</v>
      </c>
      <c r="BB44" s="412">
        <f t="shared" si="12"/>
        <v>0</v>
      </c>
      <c r="BC44" s="412">
        <f t="shared" si="12"/>
        <v>0</v>
      </c>
      <c r="BD44" s="412">
        <f t="shared" si="12"/>
        <v>0</v>
      </c>
      <c r="BE44" s="412">
        <f t="shared" si="12"/>
        <v>0</v>
      </c>
      <c r="BF44" s="412">
        <f t="shared" si="12"/>
        <v>0</v>
      </c>
      <c r="BG44" s="412">
        <f t="shared" si="12"/>
        <v>0</v>
      </c>
      <c r="BH44" s="412">
        <f t="shared" si="12"/>
        <v>0</v>
      </c>
      <c r="BI44" s="412">
        <f t="shared" si="12"/>
        <v>0</v>
      </c>
      <c r="BJ44" s="412">
        <f t="shared" si="12"/>
        <v>0</v>
      </c>
      <c r="BK44" s="412">
        <f t="shared" si="12"/>
        <v>0</v>
      </c>
      <c r="BL44" s="412">
        <f t="shared" si="12"/>
        <v>0</v>
      </c>
      <c r="BM44" s="412">
        <f t="shared" si="12"/>
        <v>0</v>
      </c>
      <c r="BN44" s="412">
        <f t="shared" si="12"/>
        <v>0</v>
      </c>
      <c r="BO44" s="413">
        <f t="shared" si="12"/>
        <v>0</v>
      </c>
      <c r="BP44" s="1539"/>
    </row>
    <row r="45" spans="1:69" ht="20.25" thickTop="1" thickBot="1">
      <c r="A45" s="3"/>
      <c r="B45" s="154" t="s">
        <v>172</v>
      </c>
      <c r="C45" s="509"/>
      <c r="D45" s="227"/>
      <c r="E45" s="227"/>
      <c r="F45" s="227"/>
      <c r="G45" s="227"/>
      <c r="H45" s="227"/>
      <c r="I45" s="227"/>
      <c r="J45" s="227"/>
      <c r="K45" s="227"/>
      <c r="L45" s="227"/>
      <c r="M45" s="227"/>
      <c r="N45" s="227"/>
      <c r="O45" s="227"/>
      <c r="P45" s="227"/>
      <c r="Q45" s="227"/>
      <c r="R45" s="227"/>
      <c r="S45" s="227"/>
      <c r="T45" s="227"/>
      <c r="U45" s="620"/>
      <c r="V45" s="227"/>
      <c r="W45" s="227"/>
      <c r="X45" s="227"/>
      <c r="Y45" s="227"/>
      <c r="Z45" s="227"/>
      <c r="AA45" s="227"/>
      <c r="AB45" s="227"/>
      <c r="AC45" s="227"/>
      <c r="AD45" s="227"/>
      <c r="AE45" s="227"/>
      <c r="AF45" s="227"/>
      <c r="AG45" s="227"/>
      <c r="AH45" s="227"/>
      <c r="AI45" s="227"/>
      <c r="AJ45" s="227"/>
      <c r="AK45" s="227"/>
      <c r="AL45" s="227"/>
      <c r="AM45" s="227"/>
      <c r="AN45" s="227"/>
      <c r="AO45" s="227"/>
      <c r="AP45" s="227"/>
      <c r="AQ45" s="227"/>
      <c r="AR45" s="227"/>
      <c r="AS45" s="227"/>
      <c r="AT45" s="227"/>
      <c r="AU45" s="227"/>
      <c r="AV45" s="227"/>
      <c r="AW45" s="227"/>
      <c r="AX45" s="7"/>
      <c r="BO45" s="6"/>
      <c r="BP45" s="1539"/>
    </row>
    <row r="46" spans="1:69" s="9" customFormat="1" ht="7.5" customHeight="1" thickBot="1">
      <c r="U46" s="828"/>
      <c r="AX46" s="449"/>
      <c r="AY46" s="449"/>
      <c r="AZ46" s="449"/>
      <c r="BP46" s="1540"/>
      <c r="BQ46" s="450"/>
    </row>
    <row r="47" spans="1:69" s="9" customFormat="1">
      <c r="B47" s="498" t="s">
        <v>50</v>
      </c>
      <c r="C47" s="214"/>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c r="AT47" s="169"/>
      <c r="AU47" s="169"/>
      <c r="AV47" s="169"/>
      <c r="AW47" s="169"/>
      <c r="AX47" s="862"/>
      <c r="AY47" s="863"/>
      <c r="AZ47" s="1080">
        <v>0</v>
      </c>
      <c r="BA47" s="414"/>
      <c r="BB47" s="415"/>
      <c r="BC47" s="415"/>
      <c r="BD47" s="415"/>
      <c r="BE47" s="415"/>
      <c r="BF47" s="415"/>
      <c r="BG47" s="415"/>
      <c r="BH47" s="415"/>
      <c r="BI47" s="415"/>
      <c r="BJ47" s="415"/>
      <c r="BK47" s="415"/>
      <c r="BL47" s="415"/>
      <c r="BM47" s="415"/>
      <c r="BN47" s="415"/>
      <c r="BO47" s="416"/>
      <c r="BP47" s="1077">
        <f>AZ47-SUM(BA47:BO47)</f>
        <v>0</v>
      </c>
      <c r="BQ47" s="1535" t="s">
        <v>254</v>
      </c>
    </row>
    <row r="48" spans="1:69" s="9" customFormat="1">
      <c r="B48" s="499" t="s">
        <v>52</v>
      </c>
      <c r="C48" s="214"/>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70"/>
      <c r="AL48" s="170"/>
      <c r="AM48" s="170"/>
      <c r="AN48" s="170"/>
      <c r="AO48" s="170"/>
      <c r="AP48" s="170"/>
      <c r="AQ48" s="170"/>
      <c r="AR48" s="170"/>
      <c r="AS48" s="170"/>
      <c r="AT48" s="170"/>
      <c r="AU48" s="170"/>
      <c r="AV48" s="170"/>
      <c r="AW48" s="170"/>
      <c r="AX48" s="864"/>
      <c r="AY48" s="865"/>
      <c r="AZ48" s="1081">
        <v>0</v>
      </c>
      <c r="BA48" s="417"/>
      <c r="BB48" s="418"/>
      <c r="BC48" s="418"/>
      <c r="BD48" s="418"/>
      <c r="BE48" s="418"/>
      <c r="BF48" s="418"/>
      <c r="BG48" s="418"/>
      <c r="BH48" s="418"/>
      <c r="BI48" s="418"/>
      <c r="BJ48" s="418"/>
      <c r="BK48" s="418"/>
      <c r="BL48" s="418"/>
      <c r="BM48" s="418"/>
      <c r="BN48" s="418"/>
      <c r="BO48" s="419"/>
      <c r="BP48" s="1078">
        <f t="shared" ref="BP48:BP71" si="13">AZ48-SUM(BA48:BO48)</f>
        <v>0</v>
      </c>
      <c r="BQ48" s="1536"/>
    </row>
    <row r="49" spans="2:69" s="9" customFormat="1">
      <c r="B49" s="499" t="s">
        <v>53</v>
      </c>
      <c r="C49" s="214"/>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0"/>
      <c r="AL49" s="170"/>
      <c r="AM49" s="170"/>
      <c r="AN49" s="170"/>
      <c r="AO49" s="170"/>
      <c r="AP49" s="170"/>
      <c r="AQ49" s="170"/>
      <c r="AR49" s="170"/>
      <c r="AS49" s="170"/>
      <c r="AT49" s="170"/>
      <c r="AU49" s="170"/>
      <c r="AV49" s="170"/>
      <c r="AW49" s="170"/>
      <c r="AX49" s="864"/>
      <c r="AY49" s="865"/>
      <c r="AZ49" s="1081">
        <v>0</v>
      </c>
      <c r="BA49" s="417"/>
      <c r="BB49" s="418"/>
      <c r="BC49" s="418"/>
      <c r="BD49" s="418"/>
      <c r="BE49" s="418"/>
      <c r="BF49" s="418"/>
      <c r="BG49" s="418"/>
      <c r="BH49" s="418"/>
      <c r="BI49" s="418"/>
      <c r="BJ49" s="418"/>
      <c r="BK49" s="418"/>
      <c r="BL49" s="418"/>
      <c r="BM49" s="418"/>
      <c r="BN49" s="418"/>
      <c r="BO49" s="419"/>
      <c r="BP49" s="1078">
        <f t="shared" si="13"/>
        <v>0</v>
      </c>
      <c r="BQ49" s="1536"/>
    </row>
    <row r="50" spans="2:69" s="9" customFormat="1">
      <c r="B50" s="499" t="s">
        <v>51</v>
      </c>
      <c r="C50" s="214"/>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0"/>
      <c r="AL50" s="170"/>
      <c r="AM50" s="170"/>
      <c r="AN50" s="170"/>
      <c r="AO50" s="170"/>
      <c r="AP50" s="170"/>
      <c r="AQ50" s="170"/>
      <c r="AR50" s="170"/>
      <c r="AS50" s="170"/>
      <c r="AT50" s="170"/>
      <c r="AU50" s="170"/>
      <c r="AV50" s="170"/>
      <c r="AW50" s="170"/>
      <c r="AX50" s="864"/>
      <c r="AY50" s="865"/>
      <c r="AZ50" s="1081">
        <v>0</v>
      </c>
      <c r="BA50" s="417"/>
      <c r="BB50" s="418"/>
      <c r="BC50" s="418"/>
      <c r="BD50" s="418"/>
      <c r="BE50" s="418"/>
      <c r="BF50" s="418"/>
      <c r="BG50" s="418"/>
      <c r="BH50" s="418"/>
      <c r="BI50" s="418"/>
      <c r="BJ50" s="418"/>
      <c r="BK50" s="418"/>
      <c r="BL50" s="418"/>
      <c r="BM50" s="418"/>
      <c r="BN50" s="418"/>
      <c r="BO50" s="419"/>
      <c r="BP50" s="1078">
        <f t="shared" si="13"/>
        <v>0</v>
      </c>
      <c r="BQ50" s="1536"/>
    </row>
    <row r="51" spans="2:69" s="9" customFormat="1">
      <c r="B51" s="499" t="s">
        <v>54</v>
      </c>
      <c r="C51" s="214"/>
      <c r="D51" s="170"/>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0"/>
      <c r="AI51" s="170"/>
      <c r="AJ51" s="170"/>
      <c r="AK51" s="170"/>
      <c r="AL51" s="170"/>
      <c r="AM51" s="170"/>
      <c r="AN51" s="170"/>
      <c r="AO51" s="170"/>
      <c r="AP51" s="170"/>
      <c r="AQ51" s="170"/>
      <c r="AR51" s="170"/>
      <c r="AS51" s="170"/>
      <c r="AT51" s="170"/>
      <c r="AU51" s="170"/>
      <c r="AV51" s="170"/>
      <c r="AW51" s="170"/>
      <c r="AX51" s="864"/>
      <c r="AY51" s="865"/>
      <c r="AZ51" s="1081">
        <v>0</v>
      </c>
      <c r="BA51" s="417"/>
      <c r="BB51" s="418"/>
      <c r="BC51" s="418"/>
      <c r="BD51" s="418"/>
      <c r="BE51" s="418"/>
      <c r="BF51" s="418"/>
      <c r="BG51" s="418"/>
      <c r="BH51" s="418"/>
      <c r="BI51" s="418"/>
      <c r="BJ51" s="418"/>
      <c r="BK51" s="418"/>
      <c r="BL51" s="418"/>
      <c r="BM51" s="418"/>
      <c r="BN51" s="418"/>
      <c r="BO51" s="419"/>
      <c r="BP51" s="1078">
        <f t="shared" si="13"/>
        <v>0</v>
      </c>
      <c r="BQ51" s="1536"/>
    </row>
    <row r="52" spans="2:69" s="9" customFormat="1">
      <c r="B52" s="499" t="s">
        <v>56</v>
      </c>
      <c r="C52" s="214"/>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70"/>
      <c r="AL52" s="170"/>
      <c r="AM52" s="170"/>
      <c r="AN52" s="170"/>
      <c r="AO52" s="170"/>
      <c r="AP52" s="170"/>
      <c r="AQ52" s="170"/>
      <c r="AR52" s="170"/>
      <c r="AS52" s="170"/>
      <c r="AT52" s="170"/>
      <c r="AU52" s="170"/>
      <c r="AV52" s="170"/>
      <c r="AW52" s="170"/>
      <c r="AX52" s="864"/>
      <c r="AY52" s="865"/>
      <c r="AZ52" s="1081">
        <v>0</v>
      </c>
      <c r="BA52" s="417"/>
      <c r="BB52" s="418"/>
      <c r="BC52" s="418"/>
      <c r="BD52" s="418"/>
      <c r="BE52" s="418"/>
      <c r="BF52" s="418"/>
      <c r="BG52" s="418"/>
      <c r="BH52" s="418"/>
      <c r="BI52" s="418"/>
      <c r="BJ52" s="418"/>
      <c r="BK52" s="418"/>
      <c r="BL52" s="418"/>
      <c r="BM52" s="418"/>
      <c r="BN52" s="418"/>
      <c r="BO52" s="419"/>
      <c r="BP52" s="1078">
        <f t="shared" si="13"/>
        <v>0</v>
      </c>
      <c r="BQ52" s="1536"/>
    </row>
    <row r="53" spans="2:69" s="9" customFormat="1">
      <c r="B53" s="499" t="s">
        <v>57</v>
      </c>
      <c r="C53" s="214"/>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0"/>
      <c r="AJ53" s="170"/>
      <c r="AK53" s="170"/>
      <c r="AL53" s="170"/>
      <c r="AM53" s="170"/>
      <c r="AN53" s="170"/>
      <c r="AO53" s="170"/>
      <c r="AP53" s="170"/>
      <c r="AQ53" s="170"/>
      <c r="AR53" s="170"/>
      <c r="AS53" s="170"/>
      <c r="AT53" s="170"/>
      <c r="AU53" s="170"/>
      <c r="AV53" s="170"/>
      <c r="AW53" s="170"/>
      <c r="AX53" s="864"/>
      <c r="AY53" s="865"/>
      <c r="AZ53" s="1081">
        <v>0</v>
      </c>
      <c r="BA53" s="417"/>
      <c r="BB53" s="418"/>
      <c r="BC53" s="418"/>
      <c r="BD53" s="418"/>
      <c r="BE53" s="418"/>
      <c r="BF53" s="418"/>
      <c r="BG53" s="418"/>
      <c r="BH53" s="418"/>
      <c r="BI53" s="418"/>
      <c r="BJ53" s="418"/>
      <c r="BK53" s="418"/>
      <c r="BL53" s="418"/>
      <c r="BM53" s="418"/>
      <c r="BN53" s="418"/>
      <c r="BO53" s="419"/>
      <c r="BP53" s="1078">
        <f t="shared" si="13"/>
        <v>0</v>
      </c>
      <c r="BQ53" s="1536"/>
    </row>
    <row r="54" spans="2:69" s="9" customFormat="1">
      <c r="B54" s="499" t="s">
        <v>58</v>
      </c>
      <c r="C54" s="214"/>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70"/>
      <c r="AL54" s="170"/>
      <c r="AM54" s="170"/>
      <c r="AN54" s="170"/>
      <c r="AO54" s="170"/>
      <c r="AP54" s="170"/>
      <c r="AQ54" s="170"/>
      <c r="AR54" s="170"/>
      <c r="AS54" s="170"/>
      <c r="AT54" s="170"/>
      <c r="AU54" s="170"/>
      <c r="AV54" s="170"/>
      <c r="AW54" s="170"/>
      <c r="AX54" s="864"/>
      <c r="AY54" s="865"/>
      <c r="AZ54" s="1081">
        <v>0</v>
      </c>
      <c r="BA54" s="417"/>
      <c r="BB54" s="418"/>
      <c r="BC54" s="418"/>
      <c r="BD54" s="418"/>
      <c r="BE54" s="418"/>
      <c r="BF54" s="418"/>
      <c r="BG54" s="418"/>
      <c r="BH54" s="418"/>
      <c r="BI54" s="418"/>
      <c r="BJ54" s="418"/>
      <c r="BK54" s="418"/>
      <c r="BL54" s="418"/>
      <c r="BM54" s="418"/>
      <c r="BN54" s="418"/>
      <c r="BO54" s="419"/>
      <c r="BP54" s="1078">
        <f t="shared" si="13"/>
        <v>0</v>
      </c>
      <c r="BQ54" s="1536"/>
    </row>
    <row r="55" spans="2:69" s="9" customFormat="1">
      <c r="B55" s="499" t="s">
        <v>28</v>
      </c>
      <c r="C55" s="214"/>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170"/>
      <c r="AI55" s="170"/>
      <c r="AJ55" s="170"/>
      <c r="AK55" s="170"/>
      <c r="AL55" s="170"/>
      <c r="AM55" s="170"/>
      <c r="AN55" s="170"/>
      <c r="AO55" s="170"/>
      <c r="AP55" s="170"/>
      <c r="AQ55" s="170"/>
      <c r="AR55" s="170"/>
      <c r="AS55" s="170"/>
      <c r="AT55" s="170"/>
      <c r="AU55" s="170"/>
      <c r="AV55" s="170"/>
      <c r="AW55" s="170"/>
      <c r="AX55" s="864"/>
      <c r="AY55" s="865"/>
      <c r="AZ55" s="1081">
        <v>0</v>
      </c>
      <c r="BA55" s="417"/>
      <c r="BB55" s="418"/>
      <c r="BC55" s="418"/>
      <c r="BD55" s="418"/>
      <c r="BE55" s="418"/>
      <c r="BF55" s="418"/>
      <c r="BG55" s="418"/>
      <c r="BH55" s="418"/>
      <c r="BI55" s="418"/>
      <c r="BJ55" s="418"/>
      <c r="BK55" s="418"/>
      <c r="BL55" s="418"/>
      <c r="BM55" s="418"/>
      <c r="BN55" s="418"/>
      <c r="BO55" s="419"/>
      <c r="BP55" s="1078">
        <f t="shared" si="13"/>
        <v>0</v>
      </c>
      <c r="BQ55" s="1536"/>
    </row>
    <row r="56" spans="2:69" s="9" customFormat="1">
      <c r="B56" s="499" t="s">
        <v>12</v>
      </c>
      <c r="C56" s="214"/>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0"/>
      <c r="AL56" s="170"/>
      <c r="AM56" s="170"/>
      <c r="AN56" s="170"/>
      <c r="AO56" s="170"/>
      <c r="AP56" s="170"/>
      <c r="AQ56" s="170"/>
      <c r="AR56" s="170"/>
      <c r="AS56" s="170"/>
      <c r="AT56" s="170"/>
      <c r="AU56" s="170"/>
      <c r="AV56" s="170"/>
      <c r="AW56" s="170"/>
      <c r="AX56" s="864"/>
      <c r="AY56" s="865"/>
      <c r="AZ56" s="1081">
        <v>0</v>
      </c>
      <c r="BA56" s="417"/>
      <c r="BB56" s="418"/>
      <c r="BC56" s="418"/>
      <c r="BD56" s="418"/>
      <c r="BE56" s="418"/>
      <c r="BF56" s="418"/>
      <c r="BG56" s="418"/>
      <c r="BH56" s="418"/>
      <c r="BI56" s="418"/>
      <c r="BJ56" s="418"/>
      <c r="BK56" s="418"/>
      <c r="BL56" s="418"/>
      <c r="BM56" s="418"/>
      <c r="BN56" s="418"/>
      <c r="BO56" s="419"/>
      <c r="BP56" s="1078">
        <f t="shared" si="13"/>
        <v>0</v>
      </c>
      <c r="BQ56" s="1536"/>
    </row>
    <row r="57" spans="2:69" s="9" customFormat="1">
      <c r="B57" s="499" t="s">
        <v>174</v>
      </c>
      <c r="C57" s="214"/>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170"/>
      <c r="AJ57" s="170"/>
      <c r="AK57" s="170"/>
      <c r="AL57" s="170"/>
      <c r="AM57" s="170"/>
      <c r="AN57" s="170"/>
      <c r="AO57" s="170"/>
      <c r="AP57" s="170"/>
      <c r="AQ57" s="170"/>
      <c r="AR57" s="170"/>
      <c r="AS57" s="170"/>
      <c r="AT57" s="170"/>
      <c r="AU57" s="170"/>
      <c r="AV57" s="170"/>
      <c r="AW57" s="170"/>
      <c r="AX57" s="864"/>
      <c r="AY57" s="865"/>
      <c r="AZ57" s="1081">
        <v>0</v>
      </c>
      <c r="BA57" s="417"/>
      <c r="BB57" s="418"/>
      <c r="BC57" s="418"/>
      <c r="BD57" s="418"/>
      <c r="BE57" s="418"/>
      <c r="BF57" s="418"/>
      <c r="BG57" s="418"/>
      <c r="BH57" s="418"/>
      <c r="BI57" s="418"/>
      <c r="BJ57" s="418"/>
      <c r="BK57" s="418"/>
      <c r="BL57" s="418"/>
      <c r="BM57" s="418"/>
      <c r="BN57" s="418"/>
      <c r="BO57" s="419"/>
      <c r="BP57" s="1078">
        <f t="shared" si="13"/>
        <v>0</v>
      </c>
      <c r="BQ57" s="1536"/>
    </row>
    <row r="58" spans="2:69" s="9" customFormat="1">
      <c r="B58" s="499" t="s">
        <v>175</v>
      </c>
      <c r="C58" s="214"/>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70"/>
      <c r="AL58" s="170"/>
      <c r="AM58" s="170"/>
      <c r="AN58" s="170"/>
      <c r="AO58" s="170"/>
      <c r="AP58" s="170"/>
      <c r="AQ58" s="170"/>
      <c r="AR58" s="170"/>
      <c r="AS58" s="170"/>
      <c r="AT58" s="170"/>
      <c r="AU58" s="170"/>
      <c r="AV58" s="170"/>
      <c r="AW58" s="170"/>
      <c r="AX58" s="864"/>
      <c r="AY58" s="865"/>
      <c r="AZ58" s="1081">
        <v>0</v>
      </c>
      <c r="BA58" s="417"/>
      <c r="BB58" s="418"/>
      <c r="BC58" s="418"/>
      <c r="BD58" s="418"/>
      <c r="BE58" s="418"/>
      <c r="BF58" s="418"/>
      <c r="BG58" s="418"/>
      <c r="BH58" s="418"/>
      <c r="BI58" s="418"/>
      <c r="BJ58" s="418"/>
      <c r="BK58" s="418"/>
      <c r="BL58" s="418"/>
      <c r="BM58" s="418"/>
      <c r="BN58" s="418"/>
      <c r="BO58" s="419"/>
      <c r="BP58" s="1078">
        <f t="shared" si="13"/>
        <v>0</v>
      </c>
      <c r="BQ58" s="1536"/>
    </row>
    <row r="59" spans="2:69" s="9" customFormat="1">
      <c r="B59" s="499" t="s">
        <v>176</v>
      </c>
      <c r="C59" s="214"/>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0"/>
      <c r="AJ59" s="170"/>
      <c r="AK59" s="170"/>
      <c r="AL59" s="170"/>
      <c r="AM59" s="170"/>
      <c r="AN59" s="170"/>
      <c r="AO59" s="170"/>
      <c r="AP59" s="170"/>
      <c r="AQ59" s="170"/>
      <c r="AR59" s="170"/>
      <c r="AS59" s="170"/>
      <c r="AT59" s="170"/>
      <c r="AU59" s="170"/>
      <c r="AV59" s="170"/>
      <c r="AW59" s="170"/>
      <c r="AX59" s="864"/>
      <c r="AY59" s="865"/>
      <c r="AZ59" s="1081">
        <v>0</v>
      </c>
      <c r="BA59" s="417"/>
      <c r="BB59" s="418"/>
      <c r="BC59" s="418"/>
      <c r="BD59" s="418"/>
      <c r="BE59" s="418"/>
      <c r="BF59" s="418"/>
      <c r="BG59" s="418"/>
      <c r="BH59" s="418"/>
      <c r="BI59" s="418"/>
      <c r="BJ59" s="418"/>
      <c r="BK59" s="418"/>
      <c r="BL59" s="418"/>
      <c r="BM59" s="418"/>
      <c r="BN59" s="418"/>
      <c r="BO59" s="419"/>
      <c r="BP59" s="1078">
        <f t="shared" si="13"/>
        <v>0</v>
      </c>
      <c r="BQ59" s="1536"/>
    </row>
    <row r="60" spans="2:69" s="9" customFormat="1">
      <c r="B60" s="499" t="s">
        <v>177</v>
      </c>
      <c r="C60" s="214"/>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170"/>
      <c r="AK60" s="170"/>
      <c r="AL60" s="170"/>
      <c r="AM60" s="170"/>
      <c r="AN60" s="170"/>
      <c r="AO60" s="170"/>
      <c r="AP60" s="170"/>
      <c r="AQ60" s="170"/>
      <c r="AR60" s="170"/>
      <c r="AS60" s="170"/>
      <c r="AT60" s="170"/>
      <c r="AU60" s="170"/>
      <c r="AV60" s="170"/>
      <c r="AW60" s="170"/>
      <c r="AX60" s="864"/>
      <c r="AY60" s="865"/>
      <c r="AZ60" s="1081">
        <v>0</v>
      </c>
      <c r="BA60" s="417"/>
      <c r="BB60" s="418"/>
      <c r="BC60" s="418"/>
      <c r="BD60" s="418"/>
      <c r="BE60" s="418"/>
      <c r="BF60" s="418"/>
      <c r="BG60" s="418"/>
      <c r="BH60" s="418"/>
      <c r="BI60" s="418"/>
      <c r="BJ60" s="418"/>
      <c r="BK60" s="418"/>
      <c r="BL60" s="418"/>
      <c r="BM60" s="418"/>
      <c r="BN60" s="418"/>
      <c r="BO60" s="419"/>
      <c r="BP60" s="1078">
        <f t="shared" si="13"/>
        <v>0</v>
      </c>
      <c r="BQ60" s="1536"/>
    </row>
    <row r="61" spans="2:69" s="9" customFormat="1">
      <c r="B61" s="499" t="s">
        <v>55</v>
      </c>
      <c r="C61" s="214"/>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70"/>
      <c r="AL61" s="170"/>
      <c r="AM61" s="170"/>
      <c r="AN61" s="170"/>
      <c r="AO61" s="170"/>
      <c r="AP61" s="170"/>
      <c r="AQ61" s="170"/>
      <c r="AR61" s="170"/>
      <c r="AS61" s="170"/>
      <c r="AT61" s="170"/>
      <c r="AU61" s="170"/>
      <c r="AV61" s="170"/>
      <c r="AW61" s="170"/>
      <c r="AX61" s="864"/>
      <c r="AY61" s="865"/>
      <c r="AZ61" s="1081">
        <v>0</v>
      </c>
      <c r="BA61" s="417"/>
      <c r="BB61" s="418"/>
      <c r="BC61" s="418"/>
      <c r="BD61" s="418"/>
      <c r="BE61" s="418"/>
      <c r="BF61" s="418"/>
      <c r="BG61" s="418"/>
      <c r="BH61" s="418"/>
      <c r="BI61" s="418"/>
      <c r="BJ61" s="418"/>
      <c r="BK61" s="418"/>
      <c r="BL61" s="418"/>
      <c r="BM61" s="418"/>
      <c r="BN61" s="418"/>
      <c r="BO61" s="419"/>
      <c r="BP61" s="1078">
        <f t="shared" si="13"/>
        <v>0</v>
      </c>
      <c r="BQ61" s="1536"/>
    </row>
    <row r="62" spans="2:69" s="9" customFormat="1">
      <c r="B62" s="499" t="s">
        <v>63</v>
      </c>
      <c r="C62" s="214"/>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0"/>
      <c r="AJ62" s="170"/>
      <c r="AK62" s="170"/>
      <c r="AL62" s="170"/>
      <c r="AM62" s="170"/>
      <c r="AN62" s="170"/>
      <c r="AO62" s="170"/>
      <c r="AP62" s="170"/>
      <c r="AQ62" s="170"/>
      <c r="AR62" s="170"/>
      <c r="AS62" s="170"/>
      <c r="AT62" s="170"/>
      <c r="AU62" s="170"/>
      <c r="AV62" s="170"/>
      <c r="AW62" s="170"/>
      <c r="AX62" s="864"/>
      <c r="AY62" s="865"/>
      <c r="AZ62" s="1081">
        <v>0</v>
      </c>
      <c r="BA62" s="417"/>
      <c r="BB62" s="418"/>
      <c r="BC62" s="418"/>
      <c r="BD62" s="418"/>
      <c r="BE62" s="418"/>
      <c r="BF62" s="418"/>
      <c r="BG62" s="418"/>
      <c r="BH62" s="418"/>
      <c r="BI62" s="418"/>
      <c r="BJ62" s="418"/>
      <c r="BK62" s="418"/>
      <c r="BL62" s="418"/>
      <c r="BM62" s="418"/>
      <c r="BN62" s="418"/>
      <c r="BO62" s="419"/>
      <c r="BP62" s="1078">
        <f t="shared" si="13"/>
        <v>0</v>
      </c>
      <c r="BQ62" s="1536"/>
    </row>
    <row r="63" spans="2:69" s="9" customFormat="1">
      <c r="B63" s="499" t="s">
        <v>64</v>
      </c>
      <c r="C63" s="214"/>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170"/>
      <c r="AJ63" s="170"/>
      <c r="AK63" s="170"/>
      <c r="AL63" s="170"/>
      <c r="AM63" s="170"/>
      <c r="AN63" s="170"/>
      <c r="AO63" s="170"/>
      <c r="AP63" s="170"/>
      <c r="AQ63" s="170"/>
      <c r="AR63" s="170"/>
      <c r="AS63" s="170"/>
      <c r="AT63" s="170"/>
      <c r="AU63" s="170"/>
      <c r="AV63" s="170"/>
      <c r="AW63" s="170"/>
      <c r="AX63" s="864"/>
      <c r="AY63" s="865"/>
      <c r="AZ63" s="1081">
        <v>0</v>
      </c>
      <c r="BA63" s="417"/>
      <c r="BB63" s="418"/>
      <c r="BC63" s="418"/>
      <c r="BD63" s="418"/>
      <c r="BE63" s="418"/>
      <c r="BF63" s="418"/>
      <c r="BG63" s="418"/>
      <c r="BH63" s="418"/>
      <c r="BI63" s="418"/>
      <c r="BJ63" s="418"/>
      <c r="BK63" s="418"/>
      <c r="BL63" s="418"/>
      <c r="BM63" s="418"/>
      <c r="BN63" s="418"/>
      <c r="BO63" s="419"/>
      <c r="BP63" s="1078">
        <f t="shared" si="13"/>
        <v>0</v>
      </c>
      <c r="BQ63" s="1536"/>
    </row>
    <row r="64" spans="2:69" s="9" customFormat="1">
      <c r="B64" s="499" t="s">
        <v>65</v>
      </c>
      <c r="C64" s="214"/>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0"/>
      <c r="AI64" s="170"/>
      <c r="AJ64" s="170"/>
      <c r="AK64" s="170"/>
      <c r="AL64" s="170"/>
      <c r="AM64" s="170"/>
      <c r="AN64" s="170"/>
      <c r="AO64" s="170"/>
      <c r="AP64" s="170"/>
      <c r="AQ64" s="170"/>
      <c r="AR64" s="170"/>
      <c r="AS64" s="170"/>
      <c r="AT64" s="170"/>
      <c r="AU64" s="170"/>
      <c r="AV64" s="170"/>
      <c r="AW64" s="170"/>
      <c r="AX64" s="864"/>
      <c r="AY64" s="865"/>
      <c r="AZ64" s="1081">
        <v>0</v>
      </c>
      <c r="BA64" s="417"/>
      <c r="BB64" s="418"/>
      <c r="BC64" s="418"/>
      <c r="BD64" s="418"/>
      <c r="BE64" s="418"/>
      <c r="BF64" s="418"/>
      <c r="BG64" s="418"/>
      <c r="BH64" s="418"/>
      <c r="BI64" s="418"/>
      <c r="BJ64" s="418"/>
      <c r="BK64" s="418"/>
      <c r="BL64" s="418"/>
      <c r="BM64" s="418"/>
      <c r="BN64" s="418"/>
      <c r="BO64" s="419"/>
      <c r="BP64" s="1078">
        <f t="shared" si="13"/>
        <v>0</v>
      </c>
      <c r="BQ64" s="1536"/>
    </row>
    <row r="65" spans="2:69" s="9" customFormat="1">
      <c r="B65" s="499" t="s">
        <v>59</v>
      </c>
      <c r="C65" s="214"/>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70"/>
      <c r="AL65" s="170"/>
      <c r="AM65" s="170"/>
      <c r="AN65" s="170"/>
      <c r="AO65" s="170"/>
      <c r="AP65" s="170"/>
      <c r="AQ65" s="170"/>
      <c r="AR65" s="170"/>
      <c r="AS65" s="170"/>
      <c r="AT65" s="170"/>
      <c r="AU65" s="170"/>
      <c r="AV65" s="170"/>
      <c r="AW65" s="170"/>
      <c r="AX65" s="864"/>
      <c r="AY65" s="865"/>
      <c r="AZ65" s="1081">
        <v>0</v>
      </c>
      <c r="BA65" s="417"/>
      <c r="BB65" s="418"/>
      <c r="BC65" s="418"/>
      <c r="BD65" s="418"/>
      <c r="BE65" s="418"/>
      <c r="BF65" s="418"/>
      <c r="BG65" s="418"/>
      <c r="BH65" s="418"/>
      <c r="BI65" s="418"/>
      <c r="BJ65" s="418"/>
      <c r="BK65" s="418"/>
      <c r="BL65" s="418"/>
      <c r="BM65" s="418"/>
      <c r="BN65" s="418"/>
      <c r="BO65" s="419"/>
      <c r="BP65" s="1078">
        <f t="shared" si="13"/>
        <v>0</v>
      </c>
      <c r="BQ65" s="1536"/>
    </row>
    <row r="66" spans="2:69" s="9" customFormat="1">
      <c r="B66" s="499" t="s">
        <v>60</v>
      </c>
      <c r="C66" s="214"/>
      <c r="D66" s="170"/>
      <c r="E66" s="170"/>
      <c r="F66" s="170"/>
      <c r="G66" s="170"/>
      <c r="H66" s="170"/>
      <c r="I66" s="170"/>
      <c r="J66" s="170"/>
      <c r="K66" s="170"/>
      <c r="L66" s="170"/>
      <c r="M66" s="170"/>
      <c r="N66" s="170"/>
      <c r="O66" s="170"/>
      <c r="P66" s="170"/>
      <c r="Q66" s="170"/>
      <c r="R66" s="170"/>
      <c r="S66" s="170"/>
      <c r="T66" s="170"/>
      <c r="U66" s="170"/>
      <c r="V66" s="170"/>
      <c r="W66" s="170"/>
      <c r="X66" s="170"/>
      <c r="Y66" s="170"/>
      <c r="Z66" s="170"/>
      <c r="AA66" s="170"/>
      <c r="AB66" s="170"/>
      <c r="AC66" s="170"/>
      <c r="AD66" s="170"/>
      <c r="AE66" s="170"/>
      <c r="AF66" s="170"/>
      <c r="AG66" s="170"/>
      <c r="AH66" s="170"/>
      <c r="AI66" s="170"/>
      <c r="AJ66" s="170"/>
      <c r="AK66" s="170"/>
      <c r="AL66" s="170"/>
      <c r="AM66" s="170"/>
      <c r="AN66" s="170"/>
      <c r="AO66" s="170"/>
      <c r="AP66" s="170"/>
      <c r="AQ66" s="170"/>
      <c r="AR66" s="170"/>
      <c r="AS66" s="170"/>
      <c r="AT66" s="170"/>
      <c r="AU66" s="170"/>
      <c r="AV66" s="170"/>
      <c r="AW66" s="170"/>
      <c r="AX66" s="864"/>
      <c r="AY66" s="865"/>
      <c r="AZ66" s="1081">
        <v>0</v>
      </c>
      <c r="BA66" s="417"/>
      <c r="BB66" s="418"/>
      <c r="BC66" s="418"/>
      <c r="BD66" s="418"/>
      <c r="BE66" s="418"/>
      <c r="BF66" s="418"/>
      <c r="BG66" s="418"/>
      <c r="BH66" s="418"/>
      <c r="BI66" s="418"/>
      <c r="BJ66" s="418"/>
      <c r="BK66" s="418"/>
      <c r="BL66" s="418"/>
      <c r="BM66" s="418"/>
      <c r="BN66" s="418"/>
      <c r="BO66" s="419"/>
      <c r="BP66" s="1078">
        <f t="shared" si="13"/>
        <v>0</v>
      </c>
      <c r="BQ66" s="1536"/>
    </row>
    <row r="67" spans="2:69" s="9" customFormat="1">
      <c r="B67" s="499" t="s">
        <v>13</v>
      </c>
      <c r="C67" s="214"/>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0"/>
      <c r="AK67" s="170"/>
      <c r="AL67" s="170"/>
      <c r="AM67" s="170"/>
      <c r="AN67" s="170"/>
      <c r="AO67" s="170"/>
      <c r="AP67" s="170"/>
      <c r="AQ67" s="170"/>
      <c r="AR67" s="170"/>
      <c r="AS67" s="170"/>
      <c r="AT67" s="170"/>
      <c r="AU67" s="170"/>
      <c r="AV67" s="170"/>
      <c r="AW67" s="170"/>
      <c r="AX67" s="864"/>
      <c r="AY67" s="865"/>
      <c r="AZ67" s="1081">
        <v>0</v>
      </c>
      <c r="BA67" s="417"/>
      <c r="BB67" s="418"/>
      <c r="BC67" s="418"/>
      <c r="BD67" s="418"/>
      <c r="BE67" s="418"/>
      <c r="BF67" s="418"/>
      <c r="BG67" s="418"/>
      <c r="BH67" s="418"/>
      <c r="BI67" s="418"/>
      <c r="BJ67" s="418"/>
      <c r="BK67" s="418"/>
      <c r="BL67" s="418"/>
      <c r="BM67" s="418"/>
      <c r="BN67" s="418"/>
      <c r="BO67" s="419"/>
      <c r="BP67" s="1078">
        <f t="shared" si="13"/>
        <v>0</v>
      </c>
      <c r="BQ67" s="1536"/>
    </row>
    <row r="68" spans="2:69" s="9" customFormat="1">
      <c r="B68" s="499" t="s">
        <v>20</v>
      </c>
      <c r="C68" s="214"/>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0"/>
      <c r="AJ68" s="170"/>
      <c r="AK68" s="170"/>
      <c r="AL68" s="170"/>
      <c r="AM68" s="170"/>
      <c r="AN68" s="170"/>
      <c r="AO68" s="170"/>
      <c r="AP68" s="170"/>
      <c r="AQ68" s="170"/>
      <c r="AR68" s="170"/>
      <c r="AS68" s="170"/>
      <c r="AT68" s="170"/>
      <c r="AU68" s="170"/>
      <c r="AV68" s="170"/>
      <c r="AW68" s="170"/>
      <c r="AX68" s="864"/>
      <c r="AY68" s="865"/>
      <c r="AZ68" s="1081">
        <v>0</v>
      </c>
      <c r="BA68" s="417"/>
      <c r="BB68" s="418"/>
      <c r="BC68" s="418"/>
      <c r="BD68" s="418"/>
      <c r="BE68" s="418"/>
      <c r="BF68" s="418"/>
      <c r="BG68" s="418"/>
      <c r="BH68" s="418"/>
      <c r="BI68" s="418"/>
      <c r="BJ68" s="418"/>
      <c r="BK68" s="418"/>
      <c r="BL68" s="418"/>
      <c r="BM68" s="418"/>
      <c r="BN68" s="418"/>
      <c r="BO68" s="419"/>
      <c r="BP68" s="1078">
        <f t="shared" si="13"/>
        <v>0</v>
      </c>
      <c r="BQ68" s="1536"/>
    </row>
    <row r="69" spans="2:69" s="9" customFormat="1">
      <c r="B69" s="499" t="s">
        <v>62</v>
      </c>
      <c r="C69" s="214"/>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70"/>
      <c r="AL69" s="170"/>
      <c r="AM69" s="170"/>
      <c r="AN69" s="170"/>
      <c r="AO69" s="170"/>
      <c r="AP69" s="170"/>
      <c r="AQ69" s="170"/>
      <c r="AR69" s="170"/>
      <c r="AS69" s="170"/>
      <c r="AT69" s="170"/>
      <c r="AU69" s="170"/>
      <c r="AV69" s="170"/>
      <c r="AW69" s="170"/>
      <c r="AX69" s="864"/>
      <c r="AY69" s="865"/>
      <c r="AZ69" s="1081">
        <v>0</v>
      </c>
      <c r="BA69" s="417"/>
      <c r="BB69" s="418"/>
      <c r="BC69" s="418"/>
      <c r="BD69" s="418"/>
      <c r="BE69" s="418"/>
      <c r="BF69" s="418"/>
      <c r="BG69" s="418"/>
      <c r="BH69" s="418"/>
      <c r="BI69" s="418"/>
      <c r="BJ69" s="418"/>
      <c r="BK69" s="418"/>
      <c r="BL69" s="418"/>
      <c r="BM69" s="418"/>
      <c r="BN69" s="418"/>
      <c r="BO69" s="419"/>
      <c r="BP69" s="1078">
        <f t="shared" si="13"/>
        <v>0</v>
      </c>
      <c r="BQ69" s="1536"/>
    </row>
    <row r="70" spans="2:69" s="9" customFormat="1">
      <c r="B70" s="499" t="s">
        <v>61</v>
      </c>
      <c r="C70" s="214"/>
      <c r="D70" s="170"/>
      <c r="E70" s="170"/>
      <c r="F70" s="170"/>
      <c r="G70" s="170"/>
      <c r="H70" s="170"/>
      <c r="I70" s="170"/>
      <c r="J70" s="170"/>
      <c r="K70" s="170"/>
      <c r="L70" s="170"/>
      <c r="M70" s="170"/>
      <c r="N70" s="170"/>
      <c r="O70" s="170"/>
      <c r="P70" s="170"/>
      <c r="Q70" s="170"/>
      <c r="R70" s="170"/>
      <c r="S70" s="170"/>
      <c r="T70" s="170"/>
      <c r="U70" s="170"/>
      <c r="V70" s="170"/>
      <c r="W70" s="170"/>
      <c r="X70" s="170"/>
      <c r="Y70" s="170"/>
      <c r="Z70" s="170"/>
      <c r="AA70" s="170"/>
      <c r="AB70" s="170"/>
      <c r="AC70" s="170"/>
      <c r="AD70" s="170"/>
      <c r="AE70" s="170"/>
      <c r="AF70" s="170"/>
      <c r="AG70" s="170"/>
      <c r="AH70" s="170"/>
      <c r="AI70" s="170"/>
      <c r="AJ70" s="170"/>
      <c r="AK70" s="170"/>
      <c r="AL70" s="170"/>
      <c r="AM70" s="170"/>
      <c r="AN70" s="170"/>
      <c r="AO70" s="170"/>
      <c r="AP70" s="170"/>
      <c r="AQ70" s="170"/>
      <c r="AR70" s="170"/>
      <c r="AS70" s="170"/>
      <c r="AT70" s="170"/>
      <c r="AU70" s="170"/>
      <c r="AV70" s="170"/>
      <c r="AW70" s="170"/>
      <c r="AX70" s="864"/>
      <c r="AY70" s="865"/>
      <c r="AZ70" s="1081">
        <v>0</v>
      </c>
      <c r="BA70" s="417"/>
      <c r="BB70" s="418"/>
      <c r="BC70" s="418"/>
      <c r="BD70" s="418"/>
      <c r="BE70" s="418"/>
      <c r="BF70" s="418"/>
      <c r="BG70" s="418"/>
      <c r="BH70" s="418"/>
      <c r="BI70" s="418"/>
      <c r="BJ70" s="418"/>
      <c r="BK70" s="418"/>
      <c r="BL70" s="418"/>
      <c r="BM70" s="418"/>
      <c r="BN70" s="418"/>
      <c r="BO70" s="419"/>
      <c r="BP70" s="1078">
        <f t="shared" si="13"/>
        <v>0</v>
      </c>
      <c r="BQ70" s="1536"/>
    </row>
    <row r="71" spans="2:69" s="9" customFormat="1" ht="15.75" thickBot="1">
      <c r="B71" s="500"/>
      <c r="C71" s="214"/>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1"/>
      <c r="AL71" s="171"/>
      <c r="AM71" s="171"/>
      <c r="AN71" s="171"/>
      <c r="AO71" s="171"/>
      <c r="AP71" s="171"/>
      <c r="AQ71" s="171"/>
      <c r="AR71" s="171"/>
      <c r="AS71" s="171"/>
      <c r="AT71" s="171"/>
      <c r="AU71" s="171"/>
      <c r="AV71" s="171"/>
      <c r="AW71" s="171"/>
      <c r="AX71" s="866"/>
      <c r="AY71" s="867"/>
      <c r="AZ71" s="1082">
        <v>0</v>
      </c>
      <c r="BA71" s="420"/>
      <c r="BB71" s="421"/>
      <c r="BC71" s="421"/>
      <c r="BD71" s="421"/>
      <c r="BE71" s="421"/>
      <c r="BF71" s="421"/>
      <c r="BG71" s="421"/>
      <c r="BH71" s="421"/>
      <c r="BI71" s="421"/>
      <c r="BJ71" s="421"/>
      <c r="BK71" s="421"/>
      <c r="BL71" s="421"/>
      <c r="BM71" s="421"/>
      <c r="BN71" s="421"/>
      <c r="BO71" s="422"/>
      <c r="BP71" s="1079">
        <f t="shared" si="13"/>
        <v>0</v>
      </c>
      <c r="BQ71" s="1537"/>
    </row>
    <row r="72" spans="2:69" s="16" customFormat="1" ht="15.75" thickBot="1">
      <c r="B72" s="81"/>
      <c r="C72" s="59"/>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c r="AX72" s="59"/>
      <c r="AY72" s="128"/>
      <c r="AZ72" s="1083">
        <f>SUM(AZ47:AZ71)</f>
        <v>0</v>
      </c>
      <c r="BA72" s="423">
        <f t="shared" ref="BA72:BO72" si="14">SUM(BA47:BA71)</f>
        <v>0</v>
      </c>
      <c r="BB72" s="424">
        <f t="shared" si="14"/>
        <v>0</v>
      </c>
      <c r="BC72" s="424">
        <f t="shared" si="14"/>
        <v>0</v>
      </c>
      <c r="BD72" s="424">
        <f t="shared" si="14"/>
        <v>0</v>
      </c>
      <c r="BE72" s="424">
        <f t="shared" si="14"/>
        <v>0</v>
      </c>
      <c r="BF72" s="424">
        <f t="shared" si="14"/>
        <v>0</v>
      </c>
      <c r="BG72" s="424">
        <f t="shared" si="14"/>
        <v>0</v>
      </c>
      <c r="BH72" s="424">
        <f t="shared" si="14"/>
        <v>0</v>
      </c>
      <c r="BI72" s="424">
        <f t="shared" si="14"/>
        <v>0</v>
      </c>
      <c r="BJ72" s="424">
        <f t="shared" si="14"/>
        <v>0</v>
      </c>
      <c r="BK72" s="424">
        <f t="shared" si="14"/>
        <v>0</v>
      </c>
      <c r="BL72" s="424">
        <f t="shared" si="14"/>
        <v>0</v>
      </c>
      <c r="BM72" s="424">
        <f t="shared" si="14"/>
        <v>0</v>
      </c>
      <c r="BN72" s="424">
        <f t="shared" si="14"/>
        <v>0</v>
      </c>
      <c r="BO72" s="425">
        <f t="shared" si="14"/>
        <v>0</v>
      </c>
      <c r="BP72" s="567"/>
      <c r="BQ72" s="450"/>
    </row>
    <row r="73" spans="2:69" s="59" customFormat="1" ht="21.75" customHeight="1" thickTop="1" thickBot="1">
      <c r="B73" s="154" t="s">
        <v>173</v>
      </c>
      <c r="C73" s="509"/>
      <c r="BA73" s="27"/>
      <c r="BB73" s="27"/>
      <c r="BC73" s="27"/>
      <c r="BD73" s="27"/>
      <c r="BE73" s="27"/>
      <c r="BF73" s="27"/>
      <c r="BG73" s="27"/>
      <c r="BH73" s="27"/>
      <c r="BI73" s="27"/>
      <c r="BJ73" s="27"/>
      <c r="BK73" s="27"/>
      <c r="BL73" s="27"/>
      <c r="BM73" s="27"/>
      <c r="BN73" s="27"/>
      <c r="BO73" s="27"/>
      <c r="BP73" s="567"/>
      <c r="BQ73" s="446"/>
    </row>
    <row r="74" spans="2:69" s="59" customFormat="1" ht="10.5" customHeight="1" thickBot="1">
      <c r="B74" s="93"/>
      <c r="C74" s="63"/>
      <c r="AZ74" s="449"/>
      <c r="BA74" s="27"/>
      <c r="BB74" s="27"/>
      <c r="BC74" s="27"/>
      <c r="BD74" s="27"/>
      <c r="BE74" s="27"/>
      <c r="BF74" s="27"/>
      <c r="BG74" s="27"/>
      <c r="BH74" s="27"/>
      <c r="BI74" s="27"/>
      <c r="BJ74" s="27"/>
      <c r="BK74" s="27"/>
      <c r="BL74" s="27"/>
      <c r="BM74" s="27"/>
      <c r="BN74" s="27"/>
      <c r="BO74" s="27"/>
      <c r="BP74" s="567"/>
      <c r="BQ74" s="446"/>
    </row>
    <row r="75" spans="2:69" s="59" customFormat="1">
      <c r="B75" s="83" t="s">
        <v>365</v>
      </c>
      <c r="C75" s="214"/>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69"/>
      <c r="AK75" s="169"/>
      <c r="AL75" s="169"/>
      <c r="AM75" s="169"/>
      <c r="AN75" s="169"/>
      <c r="AO75" s="169"/>
      <c r="AP75" s="169"/>
      <c r="AQ75" s="169"/>
      <c r="AR75" s="169"/>
      <c r="AS75" s="169"/>
      <c r="AT75" s="169"/>
      <c r="AU75" s="169"/>
      <c r="AV75" s="169"/>
      <c r="AW75" s="169"/>
      <c r="AX75" s="862"/>
      <c r="AY75" s="863"/>
      <c r="AZ75" s="1162">
        <f>IF(SUM('1. KEY DATA'!$D$59:$R$59)=0,0,AZ44/SUM('1. KEY DATA'!$D$59:$R$59))</f>
        <v>0</v>
      </c>
      <c r="BA75" s="1164" t="str">
        <f>IF('1. KEY DATA'!D59=0,"-",BA44/'1. KEY DATA'!D59)</f>
        <v>-</v>
      </c>
      <c r="BB75" s="1165" t="str">
        <f>IF('1. KEY DATA'!E59=0,"-",BB44/'1. KEY DATA'!E59)</f>
        <v>-</v>
      </c>
      <c r="BC75" s="1165" t="str">
        <f>IF('1. KEY DATA'!F59=0,"-",BC44/'1. KEY DATA'!F59)</f>
        <v>-</v>
      </c>
      <c r="BD75" s="1165" t="str">
        <f>IF('1. KEY DATA'!G59=0,"-",BD44/'1. KEY DATA'!G59)</f>
        <v>-</v>
      </c>
      <c r="BE75" s="1165" t="str">
        <f>IF('1. KEY DATA'!H59=0,"-",BE44/'1. KEY DATA'!H59)</f>
        <v>-</v>
      </c>
      <c r="BF75" s="1165" t="str">
        <f>IF('1. KEY DATA'!I59=0,"-",BF44/'1. KEY DATA'!I59)</f>
        <v>-</v>
      </c>
      <c r="BG75" s="1165" t="str">
        <f>IF('1. KEY DATA'!J59=0,"-",BG44/'1. KEY DATA'!J59)</f>
        <v>-</v>
      </c>
      <c r="BH75" s="1165" t="str">
        <f>IF('1. KEY DATA'!K59=0,"-",BH44/'1. KEY DATA'!K59)</f>
        <v>-</v>
      </c>
      <c r="BI75" s="1165" t="str">
        <f>IF('1. KEY DATA'!L59=0,"-",BI44/'1. KEY DATA'!L59)</f>
        <v>-</v>
      </c>
      <c r="BJ75" s="1165" t="str">
        <f>IF('1. KEY DATA'!M59=0,"-",BJ44/'1. KEY DATA'!M59)</f>
        <v>-</v>
      </c>
      <c r="BK75" s="1165" t="str">
        <f>IF('1. KEY DATA'!N59=0,"-",BK44/'1. KEY DATA'!N59)</f>
        <v>-</v>
      </c>
      <c r="BL75" s="1165" t="str">
        <f>IF('1. KEY DATA'!O59=0,"-",BL44/'1. KEY DATA'!O59)</f>
        <v>-</v>
      </c>
      <c r="BM75" s="1165" t="str">
        <f>IF('1. KEY DATA'!P59=0,"-",BM44/'1. KEY DATA'!P59)</f>
        <v>-</v>
      </c>
      <c r="BN75" s="1165" t="str">
        <f>IF('1. KEY DATA'!Q59=0,"-",BN44/'1. KEY DATA'!Q59)</f>
        <v>-</v>
      </c>
      <c r="BO75" s="1166" t="str">
        <f>IF('1. KEY DATA'!R59=0,"-",BO44/'1. KEY DATA'!R59)</f>
        <v>-</v>
      </c>
      <c r="BP75" s="567"/>
    </row>
    <row r="76" spans="2:69" s="59" customFormat="1">
      <c r="B76" s="84" t="s">
        <v>366</v>
      </c>
      <c r="C76" s="214"/>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70"/>
      <c r="AK76" s="170"/>
      <c r="AL76" s="170"/>
      <c r="AM76" s="170"/>
      <c r="AN76" s="170"/>
      <c r="AO76" s="170"/>
      <c r="AP76" s="170"/>
      <c r="AQ76" s="170"/>
      <c r="AR76" s="170"/>
      <c r="AS76" s="170"/>
      <c r="AT76" s="170"/>
      <c r="AU76" s="170"/>
      <c r="AV76" s="170"/>
      <c r="AW76" s="170"/>
      <c r="AX76" s="864"/>
      <c r="AY76" s="865"/>
      <c r="AZ76" s="1162">
        <f>IF(SUM('1. KEY DATA'!$D$59:$R$59)=0,0,AZ72/SUM('1. KEY DATA'!$D$59:$R$59))</f>
        <v>0</v>
      </c>
      <c r="BA76" s="1167" t="str">
        <f>IF('1. KEY DATA'!D59=0,"-",BA72/'1. KEY DATA'!D59)</f>
        <v>-</v>
      </c>
      <c r="BB76" s="1168" t="str">
        <f>IF('1. KEY DATA'!E59=0,"-",BB72/'1. KEY DATA'!E59)</f>
        <v>-</v>
      </c>
      <c r="BC76" s="1168" t="str">
        <f>IF('1. KEY DATA'!F59=0,"-",BC72/'1. KEY DATA'!F59)</f>
        <v>-</v>
      </c>
      <c r="BD76" s="1168" t="str">
        <f>IF('1. KEY DATA'!G59=0,"-",BD72/'1. KEY DATA'!G59)</f>
        <v>-</v>
      </c>
      <c r="BE76" s="1168" t="str">
        <f>IF('1. KEY DATA'!H59=0,"-",BE72/'1. KEY DATA'!H59)</f>
        <v>-</v>
      </c>
      <c r="BF76" s="1168" t="str">
        <f>IF('1. KEY DATA'!I59=0,"-",BF72/'1. KEY DATA'!I59)</f>
        <v>-</v>
      </c>
      <c r="BG76" s="1168" t="str">
        <f>IF('1. KEY DATA'!J59=0,"-",BG72/'1. KEY DATA'!J59)</f>
        <v>-</v>
      </c>
      <c r="BH76" s="1168" t="str">
        <f>IF('1. KEY DATA'!K59=0,"-",BH72/'1. KEY DATA'!K59)</f>
        <v>-</v>
      </c>
      <c r="BI76" s="1168" t="str">
        <f>IF('1. KEY DATA'!L59=0,"-",BI72/'1. KEY DATA'!L59)</f>
        <v>-</v>
      </c>
      <c r="BJ76" s="1168" t="str">
        <f>IF('1. KEY DATA'!M59=0,"-",BJ72/'1. KEY DATA'!M59)</f>
        <v>-</v>
      </c>
      <c r="BK76" s="1168" t="str">
        <f>IF('1. KEY DATA'!N59=0,"-",BK72/'1. KEY DATA'!N59)</f>
        <v>-</v>
      </c>
      <c r="BL76" s="1168" t="str">
        <f>IF('1. KEY DATA'!O59=0,"-",BL72/'1. KEY DATA'!O59)</f>
        <v>-</v>
      </c>
      <c r="BM76" s="1168" t="str">
        <f>IF('1. KEY DATA'!P59=0,"-",BM72/'1. KEY DATA'!P59)</f>
        <v>-</v>
      </c>
      <c r="BN76" s="1168" t="str">
        <f>IF('1. KEY DATA'!Q59=0,"-",BN72/'1. KEY DATA'!Q59)</f>
        <v>-</v>
      </c>
      <c r="BO76" s="1169" t="str">
        <f>IF('1. KEY DATA'!R59=0,"-",BO72/'1. KEY DATA'!R59)</f>
        <v>-</v>
      </c>
      <c r="BP76" s="567"/>
    </row>
    <row r="77" spans="2:69" s="59" customFormat="1">
      <c r="B77" s="1154" t="s">
        <v>367</v>
      </c>
      <c r="C77" s="214"/>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70"/>
      <c r="AL77" s="170"/>
      <c r="AM77" s="170"/>
      <c r="AN77" s="170"/>
      <c r="AO77" s="170"/>
      <c r="AP77" s="170"/>
      <c r="AQ77" s="170"/>
      <c r="AR77" s="170"/>
      <c r="AS77" s="170"/>
      <c r="AT77" s="170"/>
      <c r="AU77" s="170"/>
      <c r="AV77" s="170"/>
      <c r="AW77" s="170"/>
      <c r="AX77" s="864"/>
      <c r="AY77" s="865"/>
      <c r="AZ77" s="1162">
        <f>IF(SUM('1. KEY DATA'!$D$59:$R$59)=0,0,'3. Payroll'!BZ67/SUM('1. KEY DATA'!$D$59:$R$59))</f>
        <v>0</v>
      </c>
      <c r="BA77" s="1167" t="str">
        <f>IF('1. KEY DATA'!D59=0,"-",'3. Payroll'!$BZ$67/SUM($BA75:$BO75)*BA75/'1. KEY DATA'!$D$59)</f>
        <v>-</v>
      </c>
      <c r="BB77" s="1168" t="str">
        <f>IF('1. KEY DATA'!E59=0,"-",'3. Payroll'!$BZ$67/SUM($BA75:$BO75)*BB75/'1. KEY DATA'!$D$59)</f>
        <v>-</v>
      </c>
      <c r="BC77" s="1168" t="str">
        <f>IF('1. KEY DATA'!F59=0,"-",'3. Payroll'!$BZ$67/SUM($BA75:$BO75)*BC75/'1. KEY DATA'!$D$59)</f>
        <v>-</v>
      </c>
      <c r="BD77" s="1168" t="str">
        <f>IF('1. KEY DATA'!G59=0,"-",'3. Payroll'!$BZ$67/SUM($BA75:$BO75)*BD75/'1. KEY DATA'!$D$59)</f>
        <v>-</v>
      </c>
      <c r="BE77" s="1168" t="str">
        <f>IF('1. KEY DATA'!H59=0,"-",'3. Payroll'!$BZ$67/SUM($BA75:$BO75)*BE75/'1. KEY DATA'!$D$59)</f>
        <v>-</v>
      </c>
      <c r="BF77" s="1168" t="str">
        <f>IF('1. KEY DATA'!I59=0,"-",'3. Payroll'!$BZ$67/SUM($BA75:$BO75)*BF75/'1. KEY DATA'!$D$59)</f>
        <v>-</v>
      </c>
      <c r="BG77" s="1168" t="str">
        <f>IF('1. KEY DATA'!J59=0,"-",'3. Payroll'!$BZ$67/SUM($BA75:$BO75)*BG75/'1. KEY DATA'!$D$59)</f>
        <v>-</v>
      </c>
      <c r="BH77" s="1168" t="str">
        <f>IF('1. KEY DATA'!K59=0,"-",'3. Payroll'!$BZ$67/SUM($BA75:$BO75)*BH75/'1. KEY DATA'!$D$59)</f>
        <v>-</v>
      </c>
      <c r="BI77" s="1168" t="str">
        <f>IF('1. KEY DATA'!L59=0,"-",'3. Payroll'!$BZ$67/SUM($BA75:$BO75)*BI75/'1. KEY DATA'!$D$59)</f>
        <v>-</v>
      </c>
      <c r="BJ77" s="1168" t="str">
        <f>IF('1. KEY DATA'!M59=0,"-",'3. Payroll'!$BZ$67/SUM($BA75:$BO75)*BJ75/'1. KEY DATA'!$D$59)</f>
        <v>-</v>
      </c>
      <c r="BK77" s="1168" t="str">
        <f>IF('1. KEY DATA'!N59=0,"-",'3. Payroll'!$BZ$67/SUM($BA75:$BO75)*BK75/'1. KEY DATA'!$D$59)</f>
        <v>-</v>
      </c>
      <c r="BL77" s="1168" t="str">
        <f>IF('1. KEY DATA'!O59=0,"-",'3. Payroll'!$BZ$67/SUM($BA75:$BO75)*BL75/'1. KEY DATA'!$D$59)</f>
        <v>-</v>
      </c>
      <c r="BM77" s="1168" t="str">
        <f>IF('1. KEY DATA'!P59=0,"-",'3. Payroll'!$BZ$67/SUM($BA75:$BO75)*BM75/'1. KEY DATA'!$D$59)</f>
        <v>-</v>
      </c>
      <c r="BN77" s="1168" t="str">
        <f>IF('1. KEY DATA'!Q59=0,"-",'3. Payroll'!$BZ$67/SUM($BA75:$BO75)*BN75/'1. KEY DATA'!$D$59)</f>
        <v>-</v>
      </c>
      <c r="BO77" s="1169" t="str">
        <f>IF('1. KEY DATA'!R59=0,"-",'3. Payroll'!$BZ$67/SUM($BA75:$BO75)*BO75/'1. KEY DATA'!$D$59)</f>
        <v>-</v>
      </c>
      <c r="BP77" s="567"/>
    </row>
    <row r="78" spans="2:69" s="59" customFormat="1">
      <c r="B78" s="84" t="s">
        <v>148</v>
      </c>
      <c r="C78" s="214"/>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0"/>
      <c r="AJ78" s="170"/>
      <c r="AK78" s="170"/>
      <c r="AL78" s="170"/>
      <c r="AM78" s="170"/>
      <c r="AN78" s="170"/>
      <c r="AO78" s="170"/>
      <c r="AP78" s="170"/>
      <c r="AQ78" s="170"/>
      <c r="AR78" s="170"/>
      <c r="AS78" s="170"/>
      <c r="AT78" s="170"/>
      <c r="AU78" s="170"/>
      <c r="AV78" s="170"/>
      <c r="AW78" s="170"/>
      <c r="AX78" s="864"/>
      <c r="AY78" s="865"/>
      <c r="AZ78" s="1162">
        <f>IF(SUM('1. KEY DATA'!$D$59:$R$59)=0,0,'4. Property'!AU30/SUM('1. KEY DATA'!$D$59:$R$59))</f>
        <v>0</v>
      </c>
      <c r="BA78" s="1167" t="str">
        <f>IF('1. KEY DATA'!D59=0,"-",'4. Property'!$AU30/SUM('1. KEY DATA'!$D59:$R59)*'1. KEY DATA'!D59/'1. KEY DATA'!$D$59)</f>
        <v>-</v>
      </c>
      <c r="BB78" s="1168" t="str">
        <f>IF('1. KEY DATA'!E59=0,"-",'4. Property'!$AU30/SUM('1. KEY DATA'!$D59:$R59)*'1. KEY DATA'!E59/'1. KEY DATA'!$D$59)</f>
        <v>-</v>
      </c>
      <c r="BC78" s="1168" t="str">
        <f>IF('1. KEY DATA'!F59=0,"-",'4. Property'!$AU30/SUM('1. KEY DATA'!$D59:$R59)*'1. KEY DATA'!F59/'1. KEY DATA'!$D$59)</f>
        <v>-</v>
      </c>
      <c r="BD78" s="1168" t="str">
        <f>IF('1. KEY DATA'!G59=0,"-",'4. Property'!$AU30/SUM('1. KEY DATA'!$D59:$R59)*'1. KEY DATA'!G59/'1. KEY DATA'!$D$59)</f>
        <v>-</v>
      </c>
      <c r="BE78" s="1168" t="str">
        <f>IF('1. KEY DATA'!H59=0,"-",'4. Property'!$AU30/SUM('1. KEY DATA'!$D59:$R59)*'1. KEY DATA'!H59/'1. KEY DATA'!$D$59)</f>
        <v>-</v>
      </c>
      <c r="BF78" s="1168" t="str">
        <f>IF('1. KEY DATA'!I59=0,"-",'4. Property'!$AU30/SUM('1. KEY DATA'!$D59:$R59)*'1. KEY DATA'!I59/'1. KEY DATA'!$D$59)</f>
        <v>-</v>
      </c>
      <c r="BG78" s="1168" t="str">
        <f>IF('1. KEY DATA'!J59=0,"-",'4. Property'!$AU30/SUM('1. KEY DATA'!$D59:$R59)*'1. KEY DATA'!J59/'1. KEY DATA'!$D$59)</f>
        <v>-</v>
      </c>
      <c r="BH78" s="1168" t="str">
        <f>IF('1. KEY DATA'!K59=0,"-",'4. Property'!$AU30/SUM('1. KEY DATA'!$D59:$R59)*'1. KEY DATA'!K59/'1. KEY DATA'!$D$59)</f>
        <v>-</v>
      </c>
      <c r="BI78" s="1168" t="str">
        <f>IF('1. KEY DATA'!L59=0,"-",'4. Property'!$AU30/SUM('1. KEY DATA'!$D59:$R59)*'1. KEY DATA'!L59/'1. KEY DATA'!$D$59)</f>
        <v>-</v>
      </c>
      <c r="BJ78" s="1168" t="str">
        <f>IF('1. KEY DATA'!M59=0,"-",'4. Property'!$AU30/SUM('1. KEY DATA'!$D59:$R59)*'1. KEY DATA'!M59/'1. KEY DATA'!$D$59)</f>
        <v>-</v>
      </c>
      <c r="BK78" s="1168" t="str">
        <f>IF('1. KEY DATA'!N59=0,"-",'4. Property'!$AU30/SUM('1. KEY DATA'!$D59:$R59)*'1. KEY DATA'!N59/'1. KEY DATA'!$D$59)</f>
        <v>-</v>
      </c>
      <c r="BL78" s="1168" t="str">
        <f>IF('1. KEY DATA'!O59=0,"-",'4. Property'!$AU30/SUM('1. KEY DATA'!$D59:$R59)*'1. KEY DATA'!O59/'1. KEY DATA'!$D$59)</f>
        <v>-</v>
      </c>
      <c r="BM78" s="1168" t="str">
        <f>IF('1. KEY DATA'!P59=0,"-",'4. Property'!$AU30/SUM('1. KEY DATA'!$D59:$R59)*'1. KEY DATA'!P59/'1. KEY DATA'!$D$59)</f>
        <v>-</v>
      </c>
      <c r="BN78" s="1168" t="str">
        <f>IF('1. KEY DATA'!Q59=0,"-",'4. Property'!$AU30/SUM('1. KEY DATA'!$D59:$R59)*'1. KEY DATA'!Q59/'1. KEY DATA'!$D$59)</f>
        <v>-</v>
      </c>
      <c r="BO78" s="1169" t="str">
        <f>IF('1. KEY DATA'!R59=0,"-",'4. Property'!$AU30/SUM('1. KEY DATA'!$D59:$R59)*'1. KEY DATA'!R59/'1. KEY DATA'!$D$59)</f>
        <v>-</v>
      </c>
      <c r="BP78" s="567"/>
    </row>
    <row r="79" spans="2:69" s="59" customFormat="1">
      <c r="B79" s="84" t="s">
        <v>138</v>
      </c>
      <c r="C79" s="214"/>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0"/>
      <c r="AF79" s="170"/>
      <c r="AG79" s="170"/>
      <c r="AH79" s="170"/>
      <c r="AI79" s="170"/>
      <c r="AJ79" s="170"/>
      <c r="AK79" s="170"/>
      <c r="AL79" s="170"/>
      <c r="AM79" s="170"/>
      <c r="AN79" s="170"/>
      <c r="AO79" s="170"/>
      <c r="AP79" s="170"/>
      <c r="AQ79" s="170"/>
      <c r="AR79" s="170"/>
      <c r="AS79" s="170"/>
      <c r="AT79" s="170"/>
      <c r="AU79" s="170"/>
      <c r="AV79" s="170"/>
      <c r="AW79" s="170"/>
      <c r="AX79" s="864"/>
      <c r="AY79" s="865"/>
      <c r="AZ79" s="1162">
        <f>IF(SUM('1. KEY DATA'!$D$59:$R$59)=0,0,'5. Transport'!AP50/SUM('1. KEY DATA'!$D$59:$R$59))</f>
        <v>0</v>
      </c>
      <c r="BA79" s="1167" t="str">
        <f>IF('1. KEY DATA'!D59=0,"-",'5. Transport'!$AP50/SUM('1. KEY DATA'!$D59:$R59)*'1. KEY DATA'!D59/'1. KEY DATA'!$D$59)</f>
        <v>-</v>
      </c>
      <c r="BB79" s="1168" t="str">
        <f>IF('1. KEY DATA'!E59=0,"-",'5. Transport'!$AP50/SUM('1. KEY DATA'!$D59:$R59)*'1. KEY DATA'!E59/'1. KEY DATA'!$D$59)</f>
        <v>-</v>
      </c>
      <c r="BC79" s="1168" t="str">
        <f>IF('1. KEY DATA'!F59=0,"-",'5. Transport'!$AP50/SUM('1. KEY DATA'!$D59:$R59)*'1. KEY DATA'!F59/'1. KEY DATA'!$D$59)</f>
        <v>-</v>
      </c>
      <c r="BD79" s="1168" t="str">
        <f>IF('1. KEY DATA'!G59=0,"-",'5. Transport'!$AP50/SUM('1. KEY DATA'!$D59:$R59)*'1. KEY DATA'!G59/'1. KEY DATA'!$D$59)</f>
        <v>-</v>
      </c>
      <c r="BE79" s="1168" t="str">
        <f>IF('1. KEY DATA'!H59=0,"-",'5. Transport'!$AP50/SUM('1. KEY DATA'!$D59:$R59)*'1. KEY DATA'!H59/'1. KEY DATA'!$D$59)</f>
        <v>-</v>
      </c>
      <c r="BF79" s="1168" t="str">
        <f>IF('1. KEY DATA'!I59=0,"-",'5. Transport'!$AP50/SUM('1. KEY DATA'!$D59:$R59)*'1. KEY DATA'!I59/'1. KEY DATA'!$D$59)</f>
        <v>-</v>
      </c>
      <c r="BG79" s="1168" t="str">
        <f>IF('1. KEY DATA'!J59=0,"-",'5. Transport'!$AP50/SUM('1. KEY DATA'!$D59:$R59)*'1. KEY DATA'!J59/'1. KEY DATA'!$D$59)</f>
        <v>-</v>
      </c>
      <c r="BH79" s="1168" t="str">
        <f>IF('1. KEY DATA'!K59=0,"-",'5. Transport'!$AP50/SUM('1. KEY DATA'!$D59:$R59)*'1. KEY DATA'!K59/'1. KEY DATA'!$D$59)</f>
        <v>-</v>
      </c>
      <c r="BI79" s="1168" t="str">
        <f>IF('1. KEY DATA'!L59=0,"-",'5. Transport'!$AP50/SUM('1. KEY DATA'!$D59:$R59)*'1. KEY DATA'!L59/'1. KEY DATA'!$D$59)</f>
        <v>-</v>
      </c>
      <c r="BJ79" s="1168" t="str">
        <f>IF('1. KEY DATA'!M59=0,"-",'5. Transport'!$AP50/SUM('1. KEY DATA'!$D59:$R59)*'1. KEY DATA'!M59/'1. KEY DATA'!$D$59)</f>
        <v>-</v>
      </c>
      <c r="BK79" s="1168" t="str">
        <f>IF('1. KEY DATA'!N59=0,"-",'5. Transport'!$AP50/SUM('1. KEY DATA'!$D59:$R59)*'1. KEY DATA'!N59/'1. KEY DATA'!$D$59)</f>
        <v>-</v>
      </c>
      <c r="BL79" s="1168" t="str">
        <f>IF('1. KEY DATA'!O59=0,"-",'5. Transport'!$AP50/SUM('1. KEY DATA'!$D59:$R59)*'1. KEY DATA'!O59/'1. KEY DATA'!$D$59)</f>
        <v>-</v>
      </c>
      <c r="BM79" s="1168" t="str">
        <f>IF('1. KEY DATA'!P59=0,"-",'5. Transport'!$AP50/SUM('1. KEY DATA'!$D59:$R59)*'1. KEY DATA'!P59/'1. KEY DATA'!$D$59)</f>
        <v>-</v>
      </c>
      <c r="BN79" s="1168" t="str">
        <f>IF('1. KEY DATA'!Q59=0,"-",'5. Transport'!$AP50/SUM('1. KEY DATA'!$D59:$R59)*'1. KEY DATA'!Q59/'1. KEY DATA'!$D$59)</f>
        <v>-</v>
      </c>
      <c r="BO79" s="1169" t="str">
        <f>IF('1. KEY DATA'!R59=0,"-",'5. Transport'!$AP50/SUM('1. KEY DATA'!$D59:$R59)*'1. KEY DATA'!R59/'1. KEY DATA'!$D$59)</f>
        <v>-</v>
      </c>
      <c r="BP79" s="567"/>
    </row>
    <row r="80" spans="2:69" s="59" customFormat="1">
      <c r="B80" s="84" t="s">
        <v>368</v>
      </c>
      <c r="C80" s="214"/>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0"/>
      <c r="AG80" s="170"/>
      <c r="AH80" s="170"/>
      <c r="AI80" s="170"/>
      <c r="AJ80" s="170"/>
      <c r="AK80" s="170"/>
      <c r="AL80" s="170"/>
      <c r="AM80" s="170"/>
      <c r="AN80" s="170"/>
      <c r="AO80" s="170"/>
      <c r="AP80" s="170"/>
      <c r="AQ80" s="170"/>
      <c r="AR80" s="170"/>
      <c r="AS80" s="170"/>
      <c r="AT80" s="170"/>
      <c r="AU80" s="170"/>
      <c r="AV80" s="170"/>
      <c r="AW80" s="170"/>
      <c r="AX80" s="864"/>
      <c r="AY80" s="865"/>
      <c r="AZ80" s="1162">
        <f>IF(SUM('1. KEY DATA'!$D$59:$R$59)=0,0,'6. Direct OH'!N31/SUM('1. KEY DATA'!$D$59:$R$59))</f>
        <v>0</v>
      </c>
      <c r="BA80" s="1167" t="str">
        <f>IF('1. KEY DATA'!D59=0,"-",'6. Direct OH'!$N31/SUM($BA75:$BO75)*BA75/'1. KEY DATA'!$D$59)</f>
        <v>-</v>
      </c>
      <c r="BB80" s="1168" t="str">
        <f>IF('1. KEY DATA'!E59=0,"-",'6. Direct OH'!$N31/SUM($BA75:$BO75)*BB75/'1. KEY DATA'!$D$59)</f>
        <v>-</v>
      </c>
      <c r="BC80" s="1168" t="str">
        <f>IF('1. KEY DATA'!F59=0,"-",'6. Direct OH'!$N31/SUM($BA75:$BO75)*BC75/'1. KEY DATA'!$D$59)</f>
        <v>-</v>
      </c>
      <c r="BD80" s="1168" t="str">
        <f>IF('1. KEY DATA'!G59=0,"-",'6. Direct OH'!$N31/SUM($BA75:$BO75)*BD75/'1. KEY DATA'!$D$59)</f>
        <v>-</v>
      </c>
      <c r="BE80" s="1168" t="str">
        <f>IF('1. KEY DATA'!H59=0,"-",'6. Direct OH'!$N31/SUM($BA75:$BO75)*BE75/'1. KEY DATA'!$D$59)</f>
        <v>-</v>
      </c>
      <c r="BF80" s="1168" t="str">
        <f>IF('1. KEY DATA'!I59=0,"-",'6. Direct OH'!$N31/SUM($BA75:$BO75)*BF75/'1. KEY DATA'!$D$59)</f>
        <v>-</v>
      </c>
      <c r="BG80" s="1168" t="str">
        <f>IF('1. KEY DATA'!J59=0,"-",'6. Direct OH'!$N31/SUM($BA75:$BO75)*BG75/'1. KEY DATA'!$D$59)</f>
        <v>-</v>
      </c>
      <c r="BH80" s="1168" t="str">
        <f>IF('1. KEY DATA'!K59=0,"-",'6. Direct OH'!$N31/SUM($BA75:$BO75)*BH75/'1. KEY DATA'!$D$59)</f>
        <v>-</v>
      </c>
      <c r="BI80" s="1168" t="str">
        <f>IF('1. KEY DATA'!L59=0,"-",'6. Direct OH'!$N31/SUM($BA75:$BO75)*BI75/'1. KEY DATA'!$D$59)</f>
        <v>-</v>
      </c>
      <c r="BJ80" s="1168" t="str">
        <f>IF('1. KEY DATA'!M59=0,"-",'6. Direct OH'!$N31/SUM($BA75:$BO75)*BJ75/'1. KEY DATA'!$D$59)</f>
        <v>-</v>
      </c>
      <c r="BK80" s="1168" t="str">
        <f>IF('1. KEY DATA'!N59=0,"-",'6. Direct OH'!$N31/SUM($BA75:$BO75)*BK75/'1. KEY DATA'!$D$59)</f>
        <v>-</v>
      </c>
      <c r="BL80" s="1168" t="str">
        <f>IF('1. KEY DATA'!O59=0,"-",'6. Direct OH'!$N31/SUM($BA75:$BO75)*BL75/'1. KEY DATA'!$D$59)</f>
        <v>-</v>
      </c>
      <c r="BM80" s="1168" t="str">
        <f>IF('1. KEY DATA'!P59=0,"-",'6. Direct OH'!$N31/SUM($BA75:$BO75)*BM75/'1. KEY DATA'!$D$59)</f>
        <v>-</v>
      </c>
      <c r="BN80" s="1168" t="str">
        <f>IF('1. KEY DATA'!Q59=0,"-",'6. Direct OH'!$N31/SUM($BA75:$BO75)*BN75/'1. KEY DATA'!$D$59)</f>
        <v>-</v>
      </c>
      <c r="BO80" s="1169" t="str">
        <f>IF('1. KEY DATA'!R59=0,"-",'6. Direct OH'!$N31/SUM($BA75:$BO75)*BO75/'1. KEY DATA'!$D$59)</f>
        <v>-</v>
      </c>
      <c r="BP80" s="567"/>
    </row>
    <row r="81" spans="2:68" s="59" customFormat="1" ht="15.75" thickBot="1">
      <c r="B81" s="84" t="s">
        <v>213</v>
      </c>
      <c r="C81" s="214"/>
      <c r="D81" s="153"/>
      <c r="E81" s="153"/>
      <c r="F81" s="153"/>
      <c r="G81" s="153"/>
      <c r="H81" s="153"/>
      <c r="I81" s="153"/>
      <c r="J81" s="153"/>
      <c r="K81" s="153"/>
      <c r="L81" s="153"/>
      <c r="M81" s="153"/>
      <c r="N81" s="153"/>
      <c r="O81" s="153"/>
      <c r="P81" s="153"/>
      <c r="Q81" s="153"/>
      <c r="R81" s="153"/>
      <c r="S81" s="153"/>
      <c r="T81" s="153"/>
      <c r="U81" s="153"/>
      <c r="V81" s="153"/>
      <c r="W81" s="153"/>
      <c r="X81" s="153"/>
      <c r="Y81" s="153"/>
      <c r="Z81" s="153"/>
      <c r="AA81" s="153"/>
      <c r="AB81" s="153"/>
      <c r="AC81" s="153"/>
      <c r="AD81" s="153"/>
      <c r="AE81" s="153"/>
      <c r="AF81" s="153"/>
      <c r="AG81" s="153"/>
      <c r="AH81" s="153"/>
      <c r="AI81" s="153"/>
      <c r="AJ81" s="153"/>
      <c r="AK81" s="153"/>
      <c r="AL81" s="153"/>
      <c r="AM81" s="153"/>
      <c r="AN81" s="153"/>
      <c r="AO81" s="153"/>
      <c r="AP81" s="153"/>
      <c r="AQ81" s="153"/>
      <c r="AR81" s="153"/>
      <c r="AS81" s="153"/>
      <c r="AT81" s="153"/>
      <c r="AU81" s="153"/>
      <c r="AV81" s="153"/>
      <c r="AW81" s="153"/>
      <c r="AX81" s="866"/>
      <c r="AY81" s="867"/>
      <c r="AZ81" s="1163">
        <f>IF(SUM('1. KEY DATA'!$D$59:$R$59)=0,0,'7. Admin OH'!Q12/SUM('1. KEY DATA'!$D$59:$R$59))</f>
        <v>0</v>
      </c>
      <c r="BA81" s="1170" t="str">
        <f>IF('1. KEY DATA'!D59=0,"-",'7. Admin OH'!$Q$12/SUM($BA75:$BO75)*BA75/'1. KEY DATA'!$D$59)</f>
        <v>-</v>
      </c>
      <c r="BB81" s="1171" t="str">
        <f>IF('1. KEY DATA'!E59=0,"-",'7. Admin OH'!$Q$12/SUM($BA75:$BO75)*BB75/'1. KEY DATA'!$D$59)</f>
        <v>-</v>
      </c>
      <c r="BC81" s="1171" t="str">
        <f>IF('1. KEY DATA'!F59=0,"-",'7. Admin OH'!$Q$12/SUM($BA75:$BO75)*BC75/'1. KEY DATA'!$D$59)</f>
        <v>-</v>
      </c>
      <c r="BD81" s="1171" t="str">
        <f>IF('1. KEY DATA'!G59=0,"-",'7. Admin OH'!$Q$12/SUM($BA75:$BO75)*BD75/'1. KEY DATA'!$D$59)</f>
        <v>-</v>
      </c>
      <c r="BE81" s="1171" t="str">
        <f>IF('1. KEY DATA'!H59=0,"-",'7. Admin OH'!$Q$12/SUM($BA75:$BO75)*BE75/'1. KEY DATA'!$D$59)</f>
        <v>-</v>
      </c>
      <c r="BF81" s="1171" t="str">
        <f>IF('1. KEY DATA'!I59=0,"-",'7. Admin OH'!$Q$12/SUM($BA75:$BO75)*BF75/'1. KEY DATA'!$D$59)</f>
        <v>-</v>
      </c>
      <c r="BG81" s="1171" t="str">
        <f>IF('1. KEY DATA'!J59=0,"-",'7. Admin OH'!$Q$12/SUM($BA75:$BO75)*BG75/'1. KEY DATA'!$D$59)</f>
        <v>-</v>
      </c>
      <c r="BH81" s="1171" t="str">
        <f>IF('1. KEY DATA'!K59=0,"-",'7. Admin OH'!$Q$12/SUM($BA75:$BO75)*BH75/'1. KEY DATA'!$D$59)</f>
        <v>-</v>
      </c>
      <c r="BI81" s="1171" t="str">
        <f>IF('1. KEY DATA'!L59=0,"-",'7. Admin OH'!$Q$12/SUM($BA75:$BO75)*BI75/'1. KEY DATA'!$D$59)</f>
        <v>-</v>
      </c>
      <c r="BJ81" s="1171" t="str">
        <f>IF('1. KEY DATA'!M59=0,"-",'7. Admin OH'!$Q$12/SUM($BA75:$BO75)*BJ75/'1. KEY DATA'!$D$59)</f>
        <v>-</v>
      </c>
      <c r="BK81" s="1171" t="str">
        <f>IF('1. KEY DATA'!N59=0,"-",'7. Admin OH'!$Q$12/SUM($BA75:$BO75)*BK75/'1. KEY DATA'!$D$59)</f>
        <v>-</v>
      </c>
      <c r="BL81" s="1171" t="str">
        <f>IF('1. KEY DATA'!O59=0,"-",'7. Admin OH'!$Q$12/SUM($BA75:$BO75)*BL75/'1. KEY DATA'!$D$59)</f>
        <v>-</v>
      </c>
      <c r="BM81" s="1171" t="str">
        <f>IF('1. KEY DATA'!P59=0,"-",'7. Admin OH'!$Q$12/SUM($BA75:$BO75)*BM75/'1. KEY DATA'!$D$59)</f>
        <v>-</v>
      </c>
      <c r="BN81" s="1171" t="str">
        <f>IF('1. KEY DATA'!Q59=0,"-",'7. Admin OH'!$Q$12/SUM($BA75:$BO75)*BN75/'1. KEY DATA'!$D$59)</f>
        <v>-</v>
      </c>
      <c r="BO81" s="1172" t="str">
        <f>IF('1. KEY DATA'!R59=0,"-",'7. Admin OH'!$Q$12/SUM($BA75:$BO75)*BO75/'1. KEY DATA'!$D$59)</f>
        <v>-</v>
      </c>
      <c r="BP81" s="567"/>
    </row>
    <row r="82" spans="2:68" s="59" customFormat="1" ht="6.75" customHeight="1" thickBot="1">
      <c r="B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c r="AG82" s="81"/>
      <c r="AH82" s="81"/>
      <c r="AI82" s="81"/>
      <c r="AJ82" s="81"/>
      <c r="AK82" s="81"/>
      <c r="AL82" s="81"/>
      <c r="AM82" s="81"/>
      <c r="AN82" s="81"/>
      <c r="AO82" s="81"/>
      <c r="AP82" s="81"/>
      <c r="AQ82" s="81"/>
      <c r="AR82" s="81"/>
      <c r="AS82" s="81"/>
      <c r="AT82" s="81"/>
      <c r="AU82" s="81"/>
      <c r="AV82" s="81"/>
      <c r="AW82" s="81"/>
      <c r="BA82" s="82"/>
      <c r="BB82" s="82"/>
      <c r="BC82" s="82"/>
      <c r="BD82" s="82"/>
      <c r="BE82" s="82"/>
      <c r="BF82" s="82"/>
      <c r="BG82" s="82"/>
      <c r="BH82" s="82"/>
      <c r="BI82" s="82"/>
      <c r="BJ82" s="82"/>
      <c r="BK82" s="82"/>
      <c r="BL82" s="82"/>
      <c r="BM82" s="82"/>
      <c r="BN82" s="82"/>
      <c r="BO82" s="82"/>
      <c r="BP82" s="567"/>
    </row>
    <row r="83" spans="2:68" s="59" customFormat="1" ht="22.5" customHeight="1" thickTop="1" thickBot="1">
      <c r="B83" s="861" t="s">
        <v>369</v>
      </c>
      <c r="C83" s="510"/>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c r="AC83" s="177"/>
      <c r="AD83" s="177"/>
      <c r="AE83" s="177"/>
      <c r="AF83" s="177"/>
      <c r="AG83" s="177"/>
      <c r="AH83" s="177"/>
      <c r="AI83" s="177"/>
      <c r="AJ83" s="177"/>
      <c r="AK83" s="177"/>
      <c r="AL83" s="177"/>
      <c r="AM83" s="177"/>
      <c r="AN83" s="177"/>
      <c r="AO83" s="177"/>
      <c r="AP83" s="177"/>
      <c r="AQ83" s="177"/>
      <c r="AR83" s="177"/>
      <c r="AS83" s="177"/>
      <c r="AT83" s="177"/>
      <c r="AU83" s="177"/>
      <c r="AV83" s="177"/>
      <c r="AW83" s="177"/>
      <c r="AX83" s="870"/>
      <c r="AY83" s="871"/>
      <c r="AZ83" s="455">
        <f>SUM(AZ75:AZ81)</f>
        <v>0</v>
      </c>
      <c r="BA83" s="354">
        <f>SUM(BA75:BA81)</f>
        <v>0</v>
      </c>
      <c r="BB83" s="355">
        <f t="shared" ref="BB83:BO83" si="15">SUM(BB75:BB81)</f>
        <v>0</v>
      </c>
      <c r="BC83" s="355">
        <f t="shared" si="15"/>
        <v>0</v>
      </c>
      <c r="BD83" s="355">
        <f t="shared" si="15"/>
        <v>0</v>
      </c>
      <c r="BE83" s="355">
        <f t="shared" si="15"/>
        <v>0</v>
      </c>
      <c r="BF83" s="355">
        <f t="shared" si="15"/>
        <v>0</v>
      </c>
      <c r="BG83" s="355">
        <f t="shared" si="15"/>
        <v>0</v>
      </c>
      <c r="BH83" s="355">
        <f t="shared" si="15"/>
        <v>0</v>
      </c>
      <c r="BI83" s="355">
        <f t="shared" si="15"/>
        <v>0</v>
      </c>
      <c r="BJ83" s="355">
        <f t="shared" si="15"/>
        <v>0</v>
      </c>
      <c r="BK83" s="355">
        <f t="shared" si="15"/>
        <v>0</v>
      </c>
      <c r="BL83" s="356">
        <f t="shared" si="15"/>
        <v>0</v>
      </c>
      <c r="BM83" s="355">
        <f t="shared" si="15"/>
        <v>0</v>
      </c>
      <c r="BN83" s="355">
        <f t="shared" si="15"/>
        <v>0</v>
      </c>
      <c r="BO83" s="357">
        <f t="shared" si="15"/>
        <v>0</v>
      </c>
      <c r="BP83" s="567"/>
    </row>
    <row r="84" spans="2:68" s="59" customFormat="1" ht="22.5" customHeight="1" thickTop="1" thickBot="1"/>
    <row r="85" spans="2:68" s="59" customFormat="1" ht="22.5" customHeight="1" thickTop="1" thickBot="1">
      <c r="B85" s="1512" t="s">
        <v>381</v>
      </c>
      <c r="C85" s="1513"/>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7"/>
      <c r="AH85" s="177"/>
      <c r="AI85" s="177"/>
      <c r="AJ85" s="177"/>
      <c r="AK85" s="177"/>
      <c r="AL85" s="177"/>
      <c r="AM85" s="177"/>
      <c r="AN85" s="177"/>
      <c r="AO85" s="177"/>
      <c r="AP85" s="177"/>
      <c r="AQ85" s="177"/>
      <c r="AR85" s="177"/>
      <c r="AS85" s="177"/>
      <c r="AT85" s="177"/>
      <c r="AU85" s="177"/>
      <c r="AV85" s="177"/>
      <c r="AW85" s="177"/>
      <c r="AX85" s="177"/>
      <c r="AY85" s="177"/>
      <c r="AZ85" s="1190" t="e">
        <f>+'1. KEY DATA'!G46/'1. KEY DATA'!D59</f>
        <v>#DIV/0!</v>
      </c>
      <c r="BA85" s="1190" t="e">
        <f>+'1. KEY DATA'!G46/'1. KEY DATA'!D59</f>
        <v>#DIV/0!</v>
      </c>
      <c r="BB85" s="177"/>
      <c r="BC85" s="177"/>
      <c r="BD85" s="177"/>
      <c r="BE85" s="177"/>
      <c r="BF85" s="177"/>
      <c r="BG85" s="177"/>
      <c r="BH85" s="177"/>
      <c r="BI85" s="177"/>
      <c r="BJ85" s="177"/>
      <c r="BK85" s="177"/>
      <c r="BL85" s="177"/>
      <c r="BM85" s="177"/>
      <c r="BN85" s="177"/>
      <c r="BO85" s="177"/>
    </row>
    <row r="86" spans="2:68" s="59" customFormat="1" ht="22.5" customHeight="1" thickTop="1">
      <c r="B86" t="s">
        <v>379</v>
      </c>
      <c r="C86" s="9"/>
      <c r="D86" s="1188"/>
      <c r="E86" s="1188"/>
      <c r="F86" s="1188"/>
      <c r="G86" s="9"/>
      <c r="H86" s="1188"/>
      <c r="I86" s="9"/>
      <c r="J86" s="9"/>
      <c r="K86" s="9"/>
      <c r="L86" s="9"/>
      <c r="M86" s="9"/>
      <c r="AZ86" s="1191" t="e">
        <f>+AZ85-AZ83</f>
        <v>#DIV/0!</v>
      </c>
      <c r="BA86" s="1191" t="e">
        <f>+BA85-BA83</f>
        <v>#DIV/0!</v>
      </c>
    </row>
    <row r="87" spans="2:68" s="59" customFormat="1" ht="22.5" customHeight="1">
      <c r="B87" t="s">
        <v>378</v>
      </c>
      <c r="C87" s="9"/>
      <c r="D87" s="1189"/>
      <c r="E87" s="1189"/>
      <c r="F87" s="1189"/>
      <c r="G87" s="9"/>
      <c r="H87" s="1189"/>
      <c r="I87" s="9"/>
      <c r="J87" s="9"/>
      <c r="K87" s="9"/>
      <c r="L87" s="9"/>
      <c r="M87" s="9"/>
      <c r="AZ87" s="27" t="e">
        <f>+AZ86*'1. KEY DATA'!D59</f>
        <v>#DIV/0!</v>
      </c>
      <c r="BA87" s="27" t="e">
        <f>+BA86*'1. KEY DATA'!D59</f>
        <v>#DIV/0!</v>
      </c>
    </row>
    <row r="88" spans="2:68" s="59" customFormat="1" ht="22.5" customHeight="1"/>
    <row r="89" spans="2:68" s="59" customFormat="1" ht="8.25" customHeight="1" thickBot="1">
      <c r="BA89" s="27"/>
      <c r="BB89" s="27"/>
      <c r="BC89" s="27"/>
      <c r="BD89" s="27"/>
      <c r="BE89" s="27"/>
      <c r="BF89" s="27"/>
      <c r="BG89" s="27"/>
      <c r="BH89" s="27"/>
      <c r="BI89" s="27"/>
      <c r="BJ89" s="27"/>
      <c r="BK89" s="27"/>
      <c r="BL89" s="27"/>
      <c r="BM89" s="27"/>
      <c r="BN89" s="27"/>
      <c r="BO89" s="27"/>
      <c r="BP89" s="567"/>
    </row>
    <row r="90" spans="2:68" s="9" customFormat="1" ht="21" customHeight="1" thickBot="1">
      <c r="B90" s="1153" t="s">
        <v>358</v>
      </c>
      <c r="C90" s="509"/>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c r="AX90" s="59"/>
      <c r="AY90" s="59"/>
      <c r="BP90" s="567"/>
    </row>
    <row r="91" spans="2:68" s="9" customFormat="1" ht="7.5" customHeight="1" thickBot="1">
      <c r="AX91" s="59"/>
      <c r="AY91" s="59"/>
      <c r="BA91" s="47"/>
      <c r="BB91" s="47"/>
      <c r="BC91" s="47"/>
      <c r="BD91" s="47"/>
      <c r="BE91" s="47"/>
      <c r="BF91" s="47"/>
      <c r="BG91" s="47"/>
      <c r="BH91" s="47"/>
      <c r="BI91" s="47"/>
      <c r="BJ91" s="47"/>
      <c r="BK91" s="47"/>
      <c r="BL91" s="47"/>
      <c r="BM91" s="47"/>
      <c r="BN91" s="47"/>
      <c r="BO91" s="155"/>
      <c r="BP91" s="567"/>
    </row>
    <row r="92" spans="2:68" s="9" customFormat="1">
      <c r="B92" s="498" t="s">
        <v>359</v>
      </c>
      <c r="C92" s="214"/>
      <c r="D92" s="169"/>
      <c r="E92" s="169"/>
      <c r="F92" s="169"/>
      <c r="G92" s="169"/>
      <c r="H92" s="169"/>
      <c r="I92" s="169"/>
      <c r="J92" s="169"/>
      <c r="K92" s="169"/>
      <c r="L92" s="169"/>
      <c r="M92" s="169"/>
      <c r="N92" s="169"/>
      <c r="O92" s="169"/>
      <c r="P92" s="169"/>
      <c r="Q92" s="169"/>
      <c r="R92" s="169"/>
      <c r="S92" s="169"/>
      <c r="T92" s="169"/>
      <c r="U92" s="169"/>
      <c r="V92" s="169"/>
      <c r="W92" s="169"/>
      <c r="X92" s="169"/>
      <c r="Y92" s="169"/>
      <c r="Z92" s="169"/>
      <c r="AA92" s="169"/>
      <c r="AB92" s="169"/>
      <c r="AC92" s="169"/>
      <c r="AD92" s="169"/>
      <c r="AE92" s="169"/>
      <c r="AF92" s="169"/>
      <c r="AG92" s="169"/>
      <c r="AH92" s="169"/>
      <c r="AI92" s="169"/>
      <c r="AJ92" s="169"/>
      <c r="AK92" s="169"/>
      <c r="AL92" s="169"/>
      <c r="AM92" s="169"/>
      <c r="AN92" s="169"/>
      <c r="AO92" s="169"/>
      <c r="AP92" s="169"/>
      <c r="AQ92" s="169"/>
      <c r="AR92" s="169"/>
      <c r="AS92" s="169"/>
      <c r="AT92" s="169"/>
      <c r="AU92" s="169"/>
      <c r="AV92" s="169"/>
      <c r="AW92" s="169"/>
      <c r="AX92" s="862"/>
      <c r="AY92" s="863"/>
      <c r="AZ92" s="569"/>
      <c r="BA92" s="571"/>
      <c r="BB92" s="572"/>
      <c r="BC92" s="572"/>
      <c r="BD92" s="572"/>
      <c r="BE92" s="572"/>
      <c r="BF92" s="572"/>
      <c r="BG92" s="572"/>
      <c r="BH92" s="572"/>
      <c r="BI92" s="572"/>
      <c r="BJ92" s="572"/>
      <c r="BK92" s="572"/>
      <c r="BL92" s="572"/>
      <c r="BM92" s="572"/>
      <c r="BN92" s="572"/>
      <c r="BO92" s="573"/>
      <c r="BP92" s="567"/>
    </row>
    <row r="93" spans="2:68" s="9" customFormat="1" ht="15.75" thickBot="1">
      <c r="B93" s="499" t="s">
        <v>360</v>
      </c>
      <c r="C93" s="214"/>
      <c r="D93" s="170"/>
      <c r="E93" s="170"/>
      <c r="F93" s="170"/>
      <c r="G93" s="170"/>
      <c r="H93" s="170"/>
      <c r="I93" s="170"/>
      <c r="J93" s="170"/>
      <c r="K93" s="170"/>
      <c r="L93" s="170"/>
      <c r="M93" s="170"/>
      <c r="N93" s="170"/>
      <c r="O93" s="170"/>
      <c r="P93" s="170"/>
      <c r="Q93" s="170"/>
      <c r="R93" s="170"/>
      <c r="S93" s="170"/>
      <c r="T93" s="170"/>
      <c r="U93" s="170"/>
      <c r="V93" s="170"/>
      <c r="W93" s="170"/>
      <c r="X93" s="170"/>
      <c r="Y93" s="170"/>
      <c r="Z93" s="170"/>
      <c r="AA93" s="170"/>
      <c r="AB93" s="170"/>
      <c r="AC93" s="170"/>
      <c r="AD93" s="170"/>
      <c r="AE93" s="170"/>
      <c r="AF93" s="170"/>
      <c r="AG93" s="170"/>
      <c r="AH93" s="170"/>
      <c r="AI93" s="170"/>
      <c r="AJ93" s="170"/>
      <c r="AK93" s="170"/>
      <c r="AL93" s="170"/>
      <c r="AM93" s="170"/>
      <c r="AN93" s="170"/>
      <c r="AO93" s="170"/>
      <c r="AP93" s="170"/>
      <c r="AQ93" s="170"/>
      <c r="AR93" s="170"/>
      <c r="AS93" s="170"/>
      <c r="AT93" s="170"/>
      <c r="AU93" s="170"/>
      <c r="AV93" s="170"/>
      <c r="AW93" s="170"/>
      <c r="AX93" s="864"/>
      <c r="AY93" s="865"/>
      <c r="AZ93" s="570"/>
      <c r="BA93" s="574"/>
      <c r="BB93" s="575"/>
      <c r="BC93" s="575"/>
      <c r="BD93" s="575"/>
      <c r="BE93" s="575"/>
      <c r="BF93" s="575"/>
      <c r="BG93" s="575"/>
      <c r="BH93" s="575"/>
      <c r="BI93" s="575"/>
      <c r="BJ93" s="575"/>
      <c r="BK93" s="575"/>
      <c r="BL93" s="575"/>
      <c r="BM93" s="575"/>
      <c r="BN93" s="575"/>
      <c r="BO93" s="576"/>
      <c r="BP93" s="567"/>
    </row>
    <row r="94" spans="2:68" s="9" customFormat="1" ht="15.75" thickBot="1">
      <c r="B94" s="501" t="s">
        <v>361</v>
      </c>
      <c r="C94" s="214"/>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78"/>
      <c r="AB94" s="178"/>
      <c r="AC94" s="178"/>
      <c r="AD94" s="178"/>
      <c r="AE94" s="178"/>
      <c r="AF94" s="178"/>
      <c r="AG94" s="178"/>
      <c r="AH94" s="178"/>
      <c r="AI94" s="178"/>
      <c r="AJ94" s="178"/>
      <c r="AK94" s="178"/>
      <c r="AL94" s="178"/>
      <c r="AM94" s="178"/>
      <c r="AN94" s="178"/>
      <c r="AO94" s="178"/>
      <c r="AP94" s="178"/>
      <c r="AQ94" s="178"/>
      <c r="AR94" s="178"/>
      <c r="AS94" s="178"/>
      <c r="AT94" s="178"/>
      <c r="AU94" s="178"/>
      <c r="AV94" s="178"/>
      <c r="AW94" s="178"/>
      <c r="AX94" s="866"/>
      <c r="AY94" s="867"/>
      <c r="AZ94" s="577">
        <f t="shared" ref="AZ94:BO94" si="16">SUM(AZ92:AZ93)</f>
        <v>0</v>
      </c>
      <c r="BA94" s="578">
        <f t="shared" si="16"/>
        <v>0</v>
      </c>
      <c r="BB94" s="579">
        <f t="shared" si="16"/>
        <v>0</v>
      </c>
      <c r="BC94" s="579">
        <f t="shared" si="16"/>
        <v>0</v>
      </c>
      <c r="BD94" s="579">
        <f t="shared" si="16"/>
        <v>0</v>
      </c>
      <c r="BE94" s="579">
        <f t="shared" si="16"/>
        <v>0</v>
      </c>
      <c r="BF94" s="579">
        <f t="shared" si="16"/>
        <v>0</v>
      </c>
      <c r="BG94" s="579">
        <f t="shared" si="16"/>
        <v>0</v>
      </c>
      <c r="BH94" s="579">
        <f t="shared" si="16"/>
        <v>0</v>
      </c>
      <c r="BI94" s="579">
        <f t="shared" si="16"/>
        <v>0</v>
      </c>
      <c r="BJ94" s="579">
        <f t="shared" si="16"/>
        <v>0</v>
      </c>
      <c r="BK94" s="579">
        <f t="shared" si="16"/>
        <v>0</v>
      </c>
      <c r="BL94" s="579">
        <f t="shared" si="16"/>
        <v>0</v>
      </c>
      <c r="BM94" s="579">
        <f t="shared" si="16"/>
        <v>0</v>
      </c>
      <c r="BN94" s="579">
        <f t="shared" si="16"/>
        <v>0</v>
      </c>
      <c r="BO94" s="580">
        <f t="shared" si="16"/>
        <v>0</v>
      </c>
      <c r="BP94" s="567"/>
    </row>
    <row r="95" spans="2:68" s="9" customFormat="1" ht="7.5" customHeight="1" thickBot="1">
      <c r="B95" s="94"/>
      <c r="C95" s="63"/>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4"/>
      <c r="AQ95" s="94"/>
      <c r="AR95" s="94"/>
      <c r="AS95" s="94"/>
      <c r="AT95" s="94"/>
      <c r="AU95" s="94"/>
      <c r="AV95" s="94"/>
      <c r="AW95" s="94"/>
      <c r="AX95" s="63"/>
      <c r="AY95" s="63"/>
      <c r="BA95" s="95"/>
      <c r="BB95" s="95"/>
      <c r="BC95" s="95"/>
      <c r="BD95" s="95"/>
      <c r="BE95" s="95"/>
      <c r="BF95" s="95"/>
      <c r="BG95" s="95"/>
      <c r="BH95" s="95"/>
      <c r="BI95" s="95"/>
      <c r="BJ95" s="95"/>
      <c r="BK95" s="95"/>
      <c r="BL95" s="95"/>
      <c r="BM95" s="95"/>
      <c r="BN95" s="95"/>
      <c r="BO95" s="95"/>
      <c r="BP95" s="567"/>
    </row>
    <row r="96" spans="2:68" s="9" customFormat="1" ht="24" customHeight="1" thickTop="1" thickBot="1">
      <c r="B96" s="861" t="s">
        <v>137</v>
      </c>
      <c r="C96" s="508"/>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79"/>
      <c r="AU96" s="179"/>
      <c r="AV96" s="179"/>
      <c r="AW96" s="179"/>
      <c r="AX96" s="870"/>
      <c r="AY96" s="871"/>
      <c r="AZ96" s="455">
        <f t="shared" ref="AZ96:BO96" si="17">AZ83*(1+AZ94)</f>
        <v>0</v>
      </c>
      <c r="BA96" s="581">
        <f t="shared" si="17"/>
        <v>0</v>
      </c>
      <c r="BB96" s="355">
        <f t="shared" si="17"/>
        <v>0</v>
      </c>
      <c r="BC96" s="355">
        <f t="shared" si="17"/>
        <v>0</v>
      </c>
      <c r="BD96" s="355">
        <f t="shared" si="17"/>
        <v>0</v>
      </c>
      <c r="BE96" s="355">
        <f t="shared" si="17"/>
        <v>0</v>
      </c>
      <c r="BF96" s="355">
        <f t="shared" si="17"/>
        <v>0</v>
      </c>
      <c r="BG96" s="355">
        <f t="shared" si="17"/>
        <v>0</v>
      </c>
      <c r="BH96" s="355">
        <f t="shared" si="17"/>
        <v>0</v>
      </c>
      <c r="BI96" s="355">
        <f t="shared" si="17"/>
        <v>0</v>
      </c>
      <c r="BJ96" s="355">
        <f t="shared" si="17"/>
        <v>0</v>
      </c>
      <c r="BK96" s="355">
        <f t="shared" si="17"/>
        <v>0</v>
      </c>
      <c r="BL96" s="355">
        <f t="shared" si="17"/>
        <v>0</v>
      </c>
      <c r="BM96" s="355">
        <f t="shared" si="17"/>
        <v>0</v>
      </c>
      <c r="BN96" s="355">
        <f t="shared" si="17"/>
        <v>0</v>
      </c>
      <c r="BO96" s="357">
        <f t="shared" si="17"/>
        <v>0</v>
      </c>
      <c r="BP96" s="567"/>
    </row>
    <row r="97" spans="2:71" s="9" customFormat="1" ht="9" customHeight="1" thickTop="1">
      <c r="B97" s="63"/>
      <c r="C97" s="63"/>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63"/>
      <c r="AQ97" s="63"/>
      <c r="AR97" s="63"/>
      <c r="AS97" s="63"/>
      <c r="AT97" s="63"/>
      <c r="AU97" s="63"/>
      <c r="AV97" s="63"/>
      <c r="AW97" s="63"/>
      <c r="AX97" s="63"/>
      <c r="AY97" s="63"/>
      <c r="AZ97" s="63"/>
      <c r="BA97" s="75"/>
      <c r="BB97" s="75"/>
      <c r="BC97" s="75"/>
      <c r="BD97" s="75"/>
      <c r="BE97" s="75"/>
      <c r="BF97" s="75"/>
      <c r="BG97" s="75"/>
      <c r="BH97" s="75"/>
      <c r="BI97" s="75"/>
      <c r="BJ97" s="75"/>
      <c r="BK97" s="75"/>
      <c r="BL97" s="75"/>
      <c r="BM97" s="75"/>
      <c r="BN97" s="75"/>
      <c r="BO97" s="75"/>
      <c r="BP97" s="567"/>
      <c r="BQ97" s="442"/>
      <c r="BR97" s="443"/>
    </row>
    <row r="98" spans="2:71" s="9" customFormat="1" ht="6" customHeight="1" thickBot="1">
      <c r="B98" s="93"/>
      <c r="C98" s="63"/>
      <c r="D98" s="93"/>
      <c r="E98" s="93"/>
      <c r="F98" s="93"/>
      <c r="G98" s="93"/>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N98" s="93"/>
      <c r="AO98" s="93"/>
      <c r="AP98" s="93"/>
      <c r="AQ98" s="93"/>
      <c r="AR98" s="93"/>
      <c r="AS98" s="93"/>
      <c r="AT98" s="93"/>
      <c r="AU98" s="93"/>
      <c r="AV98" s="93"/>
      <c r="AW98" s="93"/>
      <c r="AX98" s="63"/>
      <c r="AY98" s="63"/>
      <c r="AZ98" s="63"/>
      <c r="BA98" s="96"/>
      <c r="BB98" s="96"/>
      <c r="BC98" s="96"/>
      <c r="BD98" s="96"/>
      <c r="BE98" s="96"/>
      <c r="BF98" s="96"/>
      <c r="BG98" s="96"/>
      <c r="BH98" s="96"/>
      <c r="BI98" s="96"/>
      <c r="BJ98" s="96"/>
      <c r="BK98" s="96"/>
      <c r="BL98" s="96"/>
      <c r="BM98" s="96"/>
      <c r="BN98" s="96"/>
      <c r="BO98" s="96"/>
      <c r="BP98" s="568"/>
      <c r="BQ98" s="442"/>
      <c r="BR98" s="443"/>
    </row>
    <row r="99" spans="2:71" s="9" customFormat="1" ht="25.5" customHeight="1" thickBot="1">
      <c r="B99" s="1084" t="s">
        <v>139</v>
      </c>
      <c r="C99" s="227"/>
      <c r="D99" s="872"/>
      <c r="E99" s="180"/>
      <c r="F99" s="180"/>
      <c r="G99" s="180"/>
      <c r="H99" s="180"/>
      <c r="I99" s="180"/>
      <c r="J99" s="180"/>
      <c r="K99" s="180"/>
      <c r="L99" s="180"/>
      <c r="M99" s="180"/>
      <c r="N99" s="180"/>
      <c r="O99" s="180"/>
      <c r="P99" s="180"/>
      <c r="Q99" s="180"/>
      <c r="R99" s="180"/>
      <c r="S99" s="180"/>
      <c r="T99" s="180"/>
      <c r="U99" s="180"/>
      <c r="V99" s="180"/>
      <c r="W99" s="180"/>
      <c r="X99" s="180"/>
      <c r="Y99" s="180"/>
      <c r="Z99" s="180"/>
      <c r="AA99" s="180"/>
      <c r="AB99" s="180"/>
      <c r="AC99" s="180"/>
      <c r="AD99" s="180"/>
      <c r="AE99" s="180"/>
      <c r="AF99" s="180"/>
      <c r="AG99" s="180"/>
      <c r="AH99" s="180"/>
      <c r="AI99" s="180"/>
      <c r="AJ99" s="180"/>
      <c r="AK99" s="180"/>
      <c r="AL99" s="180"/>
      <c r="AM99" s="180"/>
      <c r="AN99" s="180"/>
      <c r="AO99" s="180"/>
      <c r="AP99" s="180"/>
      <c r="AQ99" s="180"/>
      <c r="AR99" s="180"/>
      <c r="AS99" s="180"/>
      <c r="AT99" s="180"/>
      <c r="AU99" s="180"/>
      <c r="AV99" s="180"/>
      <c r="AW99" s="180"/>
      <c r="AX99" s="869"/>
      <c r="AY99" s="868"/>
      <c r="AZ99" s="456">
        <f>SUM(BA99:BO99)</f>
        <v>0</v>
      </c>
      <c r="BA99" s="358">
        <f>BA96*'1. KEY DATA'!D59</f>
        <v>0</v>
      </c>
      <c r="BB99" s="457">
        <f>BB96*'1. KEY DATA'!E59</f>
        <v>0</v>
      </c>
      <c r="BC99" s="457">
        <f>BC96*'1. KEY DATA'!F59</f>
        <v>0</v>
      </c>
      <c r="BD99" s="457">
        <f>BD96*'1. KEY DATA'!G59</f>
        <v>0</v>
      </c>
      <c r="BE99" s="457">
        <f>BE96*'1. KEY DATA'!H59</f>
        <v>0</v>
      </c>
      <c r="BF99" s="457">
        <f>BF96*'1. KEY DATA'!I59</f>
        <v>0</v>
      </c>
      <c r="BG99" s="457">
        <f>BG96*'1. KEY DATA'!J59</f>
        <v>0</v>
      </c>
      <c r="BH99" s="457">
        <f>BH96*'1. KEY DATA'!K59</f>
        <v>0</v>
      </c>
      <c r="BI99" s="457">
        <f>BI96*'1. KEY DATA'!L59</f>
        <v>0</v>
      </c>
      <c r="BJ99" s="457">
        <f>BJ96*'1. KEY DATA'!M59</f>
        <v>0</v>
      </c>
      <c r="BK99" s="457">
        <f>BK96*'1. KEY DATA'!N59</f>
        <v>0</v>
      </c>
      <c r="BL99" s="457">
        <f>BL96*'1. KEY DATA'!O59</f>
        <v>0</v>
      </c>
      <c r="BM99" s="457">
        <f>BM96*'1. KEY DATA'!P59</f>
        <v>0</v>
      </c>
      <c r="BN99" s="457">
        <f>BN96*'1. KEY DATA'!Q59</f>
        <v>0</v>
      </c>
      <c r="BO99" s="458">
        <f>BO96*'1. KEY DATA'!R59</f>
        <v>0</v>
      </c>
      <c r="BP99" s="445">
        <f>SUM(BA99:BO99)-'1. KEY DATA'!G46</f>
        <v>0</v>
      </c>
      <c r="BQ99" s="1527" t="s">
        <v>178</v>
      </c>
      <c r="BR99" s="1528"/>
      <c r="BS99" s="447"/>
    </row>
    <row r="100" spans="2:71" ht="8.25" customHeight="1">
      <c r="AX100" s="7"/>
      <c r="AY100" s="7"/>
      <c r="AZ100" s="7"/>
      <c r="BO100" s="99"/>
      <c r="BP100" s="444"/>
      <c r="BQ100" s="1529"/>
      <c r="BR100" s="1530"/>
      <c r="BS100" s="447"/>
    </row>
    <row r="101" spans="2:71" ht="12" customHeight="1" thickBot="1">
      <c r="AX101" s="7"/>
      <c r="AY101" s="7"/>
      <c r="AZ101" s="7"/>
      <c r="BQ101" s="1531"/>
      <c r="BR101" s="1532"/>
    </row>
    <row r="102" spans="2:71" ht="15.75" thickBot="1">
      <c r="B102" s="497" t="s">
        <v>202</v>
      </c>
      <c r="C102" s="509"/>
      <c r="D102" s="227"/>
      <c r="E102" s="227"/>
      <c r="F102" s="227"/>
      <c r="G102" s="227"/>
      <c r="H102" s="227"/>
      <c r="I102" s="227"/>
      <c r="J102" s="227"/>
      <c r="K102" s="227"/>
      <c r="L102" s="227"/>
      <c r="M102" s="227"/>
      <c r="N102" s="227"/>
      <c r="O102" s="227"/>
      <c r="P102" s="227"/>
      <c r="Q102" s="227"/>
      <c r="R102" s="227"/>
      <c r="S102" s="227"/>
      <c r="T102" s="227"/>
      <c r="U102" s="620"/>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227"/>
      <c r="AR102" s="227"/>
      <c r="AS102" s="227"/>
      <c r="AT102" s="227"/>
      <c r="AU102" s="227"/>
      <c r="AV102" s="227"/>
      <c r="AW102" s="227"/>
      <c r="AY102" s="7"/>
      <c r="AZ102" s="7"/>
    </row>
    <row r="103" spans="2:71">
      <c r="B103" s="460" t="s">
        <v>220</v>
      </c>
      <c r="C103" s="214"/>
      <c r="D103" s="1546"/>
      <c r="E103" s="1547"/>
      <c r="F103" s="1547"/>
      <c r="G103" s="1547"/>
      <c r="H103" s="1547"/>
      <c r="I103" s="1547"/>
      <c r="J103" s="1547"/>
      <c r="K103" s="1547"/>
      <c r="L103" s="1547"/>
      <c r="M103" s="1547"/>
      <c r="N103" s="1547"/>
      <c r="O103" s="1547"/>
      <c r="P103" s="1547"/>
      <c r="Q103" s="1547"/>
      <c r="R103" s="1547"/>
      <c r="S103" s="1547"/>
      <c r="T103" s="1547"/>
      <c r="U103" s="1547"/>
      <c r="V103" s="1547"/>
      <c r="W103" s="1547"/>
      <c r="X103" s="1547"/>
      <c r="Y103" s="1547"/>
      <c r="Z103" s="1547"/>
      <c r="AA103" s="1547"/>
      <c r="AB103" s="1547"/>
      <c r="AC103" s="1547"/>
      <c r="AD103" s="1547"/>
      <c r="AE103" s="1547"/>
      <c r="AF103" s="1547"/>
      <c r="AG103" s="1547"/>
      <c r="AH103" s="1547"/>
      <c r="AI103" s="1547"/>
      <c r="AJ103" s="1547"/>
      <c r="AK103" s="1547"/>
      <c r="AL103" s="1547"/>
      <c r="AM103" s="1547"/>
      <c r="AN103" s="1547"/>
      <c r="AO103" s="1547"/>
      <c r="AP103" s="1547"/>
      <c r="AQ103" s="1547"/>
      <c r="AR103" s="1547"/>
      <c r="AS103" s="1547"/>
      <c r="AT103" s="1547"/>
      <c r="AU103" s="1547"/>
      <c r="AV103" s="1547"/>
      <c r="AW103" s="1547"/>
      <c r="AX103" s="1547"/>
      <c r="AY103" s="1548"/>
      <c r="AZ103" s="1155" t="str">
        <f>IF('1. KEY DATA'!S59=0,"-",((AZ78+AZ81+AZ77)*'1. KEY DATA'!S59)/(AZ96-(AZ75+AZ76+AZ79+AZ80)))</f>
        <v>-</v>
      </c>
      <c r="BA103" s="1156" t="str">
        <f>IF('1. KEY DATA'!T59=0,"-",((BA78+BA81+BA77)*'1. KEY DATA'!D59)/(BA96-(BA75+BA76+BA79+BA80)))</f>
        <v>-</v>
      </c>
      <c r="BB103" s="1157" t="str">
        <f>IF('1. KEY DATA'!U59=0,"-",((BB78+BB81+BB77)*'1. KEY DATA'!E59)/(BB96-(BB75+BB76+BB79+BB80)))</f>
        <v>-</v>
      </c>
      <c r="BC103" s="1157" t="str">
        <f>IF('1. KEY DATA'!V59=0,"-",((BC78+BC81+BC77)*'1. KEY DATA'!F59)/(BC96-(BC75+BC76+BC79+BC80)))</f>
        <v>-</v>
      </c>
      <c r="BD103" s="1157" t="str">
        <f>IF('1. KEY DATA'!W59=0,"-",((BD78+BD81+BD77)*'1. KEY DATA'!G59)/(BD96-(BD75+BD76+BD79+BD80)))</f>
        <v>-</v>
      </c>
      <c r="BE103" s="1157" t="str">
        <f>IF('1. KEY DATA'!X59=0,"-",((BE78+BE81+BE77)*'1. KEY DATA'!H59)/(BE96-(BE75+BE76+BE79+BE80)))</f>
        <v>-</v>
      </c>
      <c r="BF103" s="1157" t="str">
        <f>IF('1. KEY DATA'!Y59=0,"-",((BF78+BF81+BF77)*'1. KEY DATA'!I59)/(BF96-(BF75+BF76+BF79+BF80)))</f>
        <v>-</v>
      </c>
      <c r="BG103" s="1157" t="str">
        <f>IF('1. KEY DATA'!Z59=0,"-",((BG78+BG81+BG77)*'1. KEY DATA'!J59)/(BG96-(BG75+BG76+BG79+BG80)))</f>
        <v>-</v>
      </c>
      <c r="BH103" s="1157" t="str">
        <f>IF('1. KEY DATA'!AA59=0,"-",((BH78+BH81+BH77)*'1. KEY DATA'!K59)/(BH96-(BH75+BH76+BH79+BH80)))</f>
        <v>-</v>
      </c>
      <c r="BI103" s="1157" t="str">
        <f>IF('1. KEY DATA'!AB59=0,"-",((BI78+BI81+BI77)*'1. KEY DATA'!L59)/(BI96-(BI75+BI76+BI79+BI80)))</f>
        <v>-</v>
      </c>
      <c r="BJ103" s="1157" t="str">
        <f>IF('1. KEY DATA'!AC59=0,"-",((BJ78+BJ81+BJ77)*'1. KEY DATA'!M59)/(BJ96-(BJ75+BJ76+BJ79+BJ80)))</f>
        <v>-</v>
      </c>
      <c r="BK103" s="1157" t="str">
        <f>IF('1. KEY DATA'!AD59=0,"-",((BK78+BK81+BK77)*'1. KEY DATA'!N59)/(BK96-(BK75+BK76+BK79+BK80)))</f>
        <v>-</v>
      </c>
      <c r="BL103" s="1157" t="str">
        <f>IF('1. KEY DATA'!AE59=0,"-",((BL78+BL81+BL77)*'1. KEY DATA'!O59)/(BL96-(BL75+BL76+BL79+BL80)))</f>
        <v>-</v>
      </c>
      <c r="BM103" s="1157" t="str">
        <f>IF('1. KEY DATA'!AF59=0,"-",((BM78+BM81+BM77)*'1. KEY DATA'!P59)/(BM96-(BM75+BM76+BM79+BM80)))</f>
        <v>-</v>
      </c>
      <c r="BN103" s="1157" t="str">
        <f>IF('1. KEY DATA'!AG59=0,"-",((BN78+BN81+BN77)*'1. KEY DATA'!Q59)/(BN96-(BN75+BN76+BN79+BN80)))</f>
        <v>-</v>
      </c>
      <c r="BO103" s="1158" t="str">
        <f>IF('1. KEY DATA'!AH59=0,"-",((BO78+BO81+BO77)*'1. KEY DATA'!R59)/(BO96-(BO75+BO76+BO79+BO80)))</f>
        <v>-</v>
      </c>
    </row>
    <row r="104" spans="2:71" ht="15.75" thickBot="1">
      <c r="B104" s="459" t="s">
        <v>219</v>
      </c>
      <c r="C104" s="214"/>
      <c r="D104" s="1549"/>
      <c r="E104" s="1550"/>
      <c r="F104" s="1550"/>
      <c r="G104" s="1550"/>
      <c r="H104" s="1550"/>
      <c r="I104" s="1550"/>
      <c r="J104" s="1550"/>
      <c r="K104" s="1550"/>
      <c r="L104" s="1550"/>
      <c r="M104" s="1550"/>
      <c r="N104" s="1550"/>
      <c r="O104" s="1550"/>
      <c r="P104" s="1550"/>
      <c r="Q104" s="1550"/>
      <c r="R104" s="1550"/>
      <c r="S104" s="1550"/>
      <c r="T104" s="1550"/>
      <c r="U104" s="1550"/>
      <c r="V104" s="1550"/>
      <c r="W104" s="1550"/>
      <c r="X104" s="1550"/>
      <c r="Y104" s="1550"/>
      <c r="Z104" s="1550"/>
      <c r="AA104" s="1550"/>
      <c r="AB104" s="1550"/>
      <c r="AC104" s="1550"/>
      <c r="AD104" s="1550"/>
      <c r="AE104" s="1550"/>
      <c r="AF104" s="1550"/>
      <c r="AG104" s="1550"/>
      <c r="AH104" s="1550"/>
      <c r="AI104" s="1550"/>
      <c r="AJ104" s="1550"/>
      <c r="AK104" s="1550"/>
      <c r="AL104" s="1550"/>
      <c r="AM104" s="1550"/>
      <c r="AN104" s="1550"/>
      <c r="AO104" s="1550"/>
      <c r="AP104" s="1550"/>
      <c r="AQ104" s="1550"/>
      <c r="AR104" s="1550"/>
      <c r="AS104" s="1550"/>
      <c r="AT104" s="1550"/>
      <c r="AU104" s="1550"/>
      <c r="AV104" s="1550"/>
      <c r="AW104" s="1550"/>
      <c r="AX104" s="1550"/>
      <c r="AY104" s="1551"/>
      <c r="AZ104" s="1192">
        <f>IF('1. KEY DATA'!S59=0,0,'1. KEY DATA'!S59-AZ103)</f>
        <v>0</v>
      </c>
      <c r="BA104" s="1159">
        <f>IF('1. KEY DATA'!D59=0,0,'1. KEY DATA'!D59-BA103)</f>
        <v>0</v>
      </c>
      <c r="BB104" s="1160">
        <f>IF('1. KEY DATA'!E59=0,0,'1. KEY DATA'!E59-BB103)</f>
        <v>0</v>
      </c>
      <c r="BC104" s="1160">
        <f>IF('1. KEY DATA'!F59=0,0,'1. KEY DATA'!F59-BC103)</f>
        <v>0</v>
      </c>
      <c r="BD104" s="1160">
        <f>IF('1. KEY DATA'!G59=0,0,'1. KEY DATA'!G59-BD103)</f>
        <v>0</v>
      </c>
      <c r="BE104" s="1160">
        <f>IF('1. KEY DATA'!H59=0,0,'1. KEY DATA'!H59-BE103)</f>
        <v>0</v>
      </c>
      <c r="BF104" s="1160">
        <f>IF('1. KEY DATA'!I59=0,0,'1. KEY DATA'!I59-BF103)</f>
        <v>0</v>
      </c>
      <c r="BG104" s="1160">
        <f>IF('1. KEY DATA'!J59=0,0,'1. KEY DATA'!J59-BG103)</f>
        <v>0</v>
      </c>
      <c r="BH104" s="1160">
        <f>IF('1. KEY DATA'!K59=0,0,'1. KEY DATA'!K59-BH103)</f>
        <v>0</v>
      </c>
      <c r="BI104" s="1160">
        <f>IF('1. KEY DATA'!L59=0,0,'1. KEY DATA'!L59-BI103)</f>
        <v>0</v>
      </c>
      <c r="BJ104" s="1160">
        <f>IF('1. KEY DATA'!M59=0,0,'1. KEY DATA'!M59-BJ103)</f>
        <v>0</v>
      </c>
      <c r="BK104" s="1160">
        <f>IF('1. KEY DATA'!N59=0,0,'1. KEY DATA'!N59-BK103)</f>
        <v>0</v>
      </c>
      <c r="BL104" s="1160">
        <f>IF('1. KEY DATA'!O59=0,0,'1. KEY DATA'!O59-BL103)</f>
        <v>0</v>
      </c>
      <c r="BM104" s="1160">
        <f>IF('1. KEY DATA'!P59=0,0,'1. KEY DATA'!P59-BM103)</f>
        <v>0</v>
      </c>
      <c r="BN104" s="1160">
        <f>IF('1. KEY DATA'!Q59=0,0,'1. KEY DATA'!Q59-BN103)</f>
        <v>0</v>
      </c>
      <c r="BO104" s="1161">
        <f>IF('1. KEY DATA'!R59=0,0,'1. KEY DATA'!R59-BO103)</f>
        <v>0</v>
      </c>
    </row>
  </sheetData>
  <mergeCells count="73">
    <mergeCell ref="B85:C85"/>
    <mergeCell ref="D103:AY104"/>
    <mergeCell ref="AT8:AT9"/>
    <mergeCell ref="AU8:AU9"/>
    <mergeCell ref="AP8:AP9"/>
    <mergeCell ref="K8:K9"/>
    <mergeCell ref="O8:O9"/>
    <mergeCell ref="AD8:AD9"/>
    <mergeCell ref="AE8:AE9"/>
    <mergeCell ref="AW7:AW9"/>
    <mergeCell ref="AT7:AU7"/>
    <mergeCell ref="X8:X9"/>
    <mergeCell ref="Y8:Y9"/>
    <mergeCell ref="Z8:Z9"/>
    <mergeCell ref="D7:D9"/>
    <mergeCell ref="L7:L9"/>
    <mergeCell ref="E7:K7"/>
    <mergeCell ref="J8:J9"/>
    <mergeCell ref="N2:R2"/>
    <mergeCell ref="P8:P9"/>
    <mergeCell ref="Q8:Q9"/>
    <mergeCell ref="R8:R9"/>
    <mergeCell ref="M7:M9"/>
    <mergeCell ref="N7:N9"/>
    <mergeCell ref="E8:F8"/>
    <mergeCell ref="G8:G9"/>
    <mergeCell ref="H8:H9"/>
    <mergeCell ref="I8:I9"/>
    <mergeCell ref="AC8:AC9"/>
    <mergeCell ref="AF8:AF9"/>
    <mergeCell ref="AG8:AG9"/>
    <mergeCell ref="AH8:AH9"/>
    <mergeCell ref="O7:P7"/>
    <mergeCell ref="Q7:R7"/>
    <mergeCell ref="T8:T9"/>
    <mergeCell ref="U8:V8"/>
    <mergeCell ref="W8:W9"/>
    <mergeCell ref="T7:W7"/>
    <mergeCell ref="X7:AA7"/>
    <mergeCell ref="AA8:AA9"/>
    <mergeCell ref="AC7:AH7"/>
    <mergeCell ref="BQ99:BR101"/>
    <mergeCell ref="BA8:BA9"/>
    <mergeCell ref="BB8:BB9"/>
    <mergeCell ref="BC8:BC9"/>
    <mergeCell ref="BD8:BD9"/>
    <mergeCell ref="BE8:BE9"/>
    <mergeCell ref="BF8:BF9"/>
    <mergeCell ref="BG8:BG9"/>
    <mergeCell ref="BH8:BH9"/>
    <mergeCell ref="BI8:BI9"/>
    <mergeCell ref="BJ8:BJ9"/>
    <mergeCell ref="BK8:BK9"/>
    <mergeCell ref="BO8:BO9"/>
    <mergeCell ref="BQ47:BQ71"/>
    <mergeCell ref="BP10:BP46"/>
    <mergeCell ref="BL2:BP2"/>
    <mergeCell ref="AZ8:AZ9"/>
    <mergeCell ref="BL8:BL9"/>
    <mergeCell ref="BM8:BM9"/>
    <mergeCell ref="BN8:BN9"/>
    <mergeCell ref="BP8:BP9"/>
    <mergeCell ref="AY2:BC2"/>
    <mergeCell ref="AY8:AY9"/>
    <mergeCell ref="AJ6:AR6"/>
    <mergeCell ref="AJ7:AN7"/>
    <mergeCell ref="AO7:AQ7"/>
    <mergeCell ref="AR7:AR9"/>
    <mergeCell ref="AQ8:AQ9"/>
    <mergeCell ref="AJ8:AL8"/>
    <mergeCell ref="AM8:AM9"/>
    <mergeCell ref="AN8:AN9"/>
    <mergeCell ref="AO8:AO9"/>
  </mergeCells>
  <dataValidations count="1">
    <dataValidation type="whole" allowBlank="1" showInputMessage="1" showErrorMessage="1" error="WHOLE NUMBER ONLY ALLOWED.  Do not enter fractional FTE.  Only actual number of employees at this pay rate is required as part-time hours are accounted for in the HOURS PER FORTNIGHT column." sqref="M13:M43">
      <formula1>0</formula1>
      <formula2>999</formula2>
    </dataValidation>
  </dataValidations>
  <pageMargins left="0.70866141732283472" right="0.70866141732283472" top="0.74803149606299213" bottom="0.74803149606299213" header="0.31496062992125984" footer="0.31496062992125984"/>
  <pageSetup paperSize="9" scale="48" orientation="landscape" r:id="rId1"/>
</worksheet>
</file>

<file path=xl/worksheets/sheet11.xml><?xml version="1.0" encoding="utf-8"?>
<worksheet xmlns="http://schemas.openxmlformats.org/spreadsheetml/2006/main" xmlns:r="http://schemas.openxmlformats.org/officeDocument/2006/relationships">
  <sheetPr>
    <tabColor theme="7" tint="-0.249977111117893"/>
    <pageSetUpPr fitToPage="1"/>
  </sheetPr>
  <dimension ref="A1:BN41"/>
  <sheetViews>
    <sheetView workbookViewId="0">
      <pane xSplit="3" ySplit="11" topLeftCell="AK12" activePane="bottomRight" state="frozen"/>
      <selection pane="topRight" activeCell="D1" sqref="D1"/>
      <selection pane="bottomLeft" activeCell="A12" sqref="A12"/>
      <selection pane="bottomRight" activeCell="BF27" sqref="BF27"/>
    </sheetView>
  </sheetViews>
  <sheetFormatPr defaultRowHeight="15"/>
  <cols>
    <col min="1" max="1" width="1.42578125" customWidth="1"/>
    <col min="2" max="2" width="5.5703125" customWidth="1"/>
    <col min="3" max="3" width="43.7109375" customWidth="1"/>
    <col min="4" max="4" width="1.140625" style="7" customWidth="1"/>
    <col min="5" max="5" width="10" customWidth="1"/>
    <col min="6" max="6" width="10.5703125" customWidth="1"/>
    <col min="7" max="7" width="10.42578125" customWidth="1"/>
    <col min="8" max="8" width="11.140625" customWidth="1"/>
    <col min="9" max="9" width="11" customWidth="1"/>
    <col min="10" max="10" width="10.85546875" customWidth="1"/>
    <col min="11" max="11" width="11.5703125" customWidth="1"/>
    <col min="12" max="12" width="11.28515625" customWidth="1"/>
    <col min="13" max="13" width="10.42578125" customWidth="1"/>
    <col min="14" max="14" width="10.5703125" customWidth="1"/>
    <col min="15" max="15" width="9.5703125" customWidth="1"/>
    <col min="16" max="16" width="11" customWidth="1"/>
    <col min="17" max="17" width="10.42578125" customWidth="1"/>
    <col min="18" max="18" width="1.28515625" customWidth="1"/>
    <col min="19" max="19" width="11" customWidth="1"/>
    <col min="20" max="20" width="9.140625" customWidth="1"/>
    <col min="21" max="21" width="10.42578125" customWidth="1"/>
    <col min="22" max="22" width="10.5703125" customWidth="1"/>
    <col min="23" max="25" width="10.140625" customWidth="1"/>
    <col min="26" max="26" width="9.85546875" customWidth="1"/>
    <col min="27" max="27" width="1.140625" customWidth="1"/>
    <col min="28" max="28" width="10.5703125" customWidth="1"/>
    <col min="29" max="29" width="9.28515625" customWidth="1"/>
    <col min="30" max="30" width="9.42578125" customWidth="1"/>
    <col min="31" max="31" width="8.140625" customWidth="1"/>
    <col min="32" max="32" width="1.28515625" customWidth="1"/>
    <col min="33" max="33" width="8.85546875" customWidth="1"/>
    <col min="34" max="34" width="7.85546875" customWidth="1"/>
    <col min="35" max="35" width="9.28515625" customWidth="1"/>
    <col min="36" max="36" width="8.7109375" customWidth="1"/>
    <col min="37" max="37" width="8.5703125" customWidth="1"/>
    <col min="38" max="38" width="11" customWidth="1"/>
    <col min="39" max="39" width="9.85546875" customWidth="1"/>
    <col min="40" max="40" width="13.28515625" customWidth="1"/>
    <col min="41" max="41" width="10.5703125" customWidth="1"/>
    <col min="42" max="42" width="1.28515625" customWidth="1"/>
    <col min="43" max="43" width="11.28515625" customWidth="1"/>
    <col min="44" max="44" width="9.85546875" customWidth="1"/>
    <col min="45" max="45" width="1.42578125" customWidth="1"/>
    <col min="46" max="46" width="12.140625" customWidth="1"/>
    <col min="47" max="47" width="1.5703125" customWidth="1"/>
    <col min="48" max="48" width="9.7109375" customWidth="1"/>
    <col min="49" max="49" width="10.7109375" customWidth="1"/>
    <col min="50" max="50" width="10.140625" customWidth="1"/>
    <col min="51" max="51" width="10.5703125" bestFit="1" customWidth="1"/>
    <col min="53" max="53" width="11.140625" customWidth="1"/>
    <col min="54" max="54" width="1.5703125" customWidth="1"/>
    <col min="55" max="55" width="13.28515625" customWidth="1"/>
    <col min="56" max="56" width="1.5703125" customWidth="1"/>
    <col min="57" max="57" width="9.7109375" customWidth="1"/>
    <col min="58" max="58" width="1.7109375" customWidth="1"/>
    <col min="59" max="59" width="11.28515625" customWidth="1"/>
    <col min="60" max="60" width="10.42578125" customWidth="1"/>
    <col min="61" max="61" width="1.85546875" customWidth="1"/>
    <col min="62" max="62" width="10.28515625" customWidth="1"/>
    <col min="63" max="63" width="11.85546875" customWidth="1"/>
    <col min="64" max="64" width="1.7109375" style="6" customWidth="1"/>
    <col min="65" max="65" width="9.42578125" customWidth="1"/>
    <col min="66" max="66" width="10.7109375" customWidth="1"/>
  </cols>
  <sheetData>
    <row r="1" spans="1:66" s="10" customFormat="1" ht="19.5" thickBot="1">
      <c r="A1" s="380">
        <f>'1. KEY DATA'!C3</f>
        <v>0</v>
      </c>
      <c r="B1" s="380"/>
      <c r="C1" s="380"/>
      <c r="D1" s="892"/>
      <c r="E1" s="793"/>
      <c r="F1" s="793"/>
      <c r="G1" s="793"/>
      <c r="H1" s="793"/>
      <c r="I1" s="793"/>
      <c r="J1" s="793"/>
      <c r="K1" s="793"/>
      <c r="L1" s="793"/>
      <c r="P1" s="86" t="s">
        <v>90</v>
      </c>
      <c r="Q1" s="101">
        <f>'1. KEY DATA'!C4</f>
        <v>0</v>
      </c>
      <c r="R1" s="793"/>
      <c r="S1" s="793"/>
      <c r="T1" s="793"/>
      <c r="U1" s="793"/>
      <c r="V1" s="793"/>
      <c r="W1" s="793"/>
      <c r="X1" s="793"/>
      <c r="Y1" s="793"/>
      <c r="Z1" s="793"/>
      <c r="AA1" s="793"/>
      <c r="AB1" s="793"/>
      <c r="AC1" s="793"/>
      <c r="AD1" s="793"/>
      <c r="AE1" s="793"/>
      <c r="AF1" s="793"/>
      <c r="AG1" s="793"/>
      <c r="AH1" s="793"/>
      <c r="AI1" s="793"/>
      <c r="AJ1" s="793"/>
      <c r="AK1" s="793"/>
      <c r="AL1" s="793"/>
      <c r="AM1" s="793"/>
      <c r="AN1" s="793"/>
      <c r="AO1" s="793"/>
      <c r="AP1" s="793"/>
      <c r="AQ1" s="793"/>
      <c r="AR1" s="793"/>
      <c r="AS1" s="793"/>
      <c r="AT1" s="793"/>
      <c r="AZ1" s="86" t="s">
        <v>90</v>
      </c>
      <c r="BA1" s="101">
        <f>'1. KEY DATA'!C4</f>
        <v>0</v>
      </c>
      <c r="BJ1" s="58"/>
      <c r="BK1" s="58"/>
      <c r="BL1" s="58"/>
      <c r="BM1" s="159"/>
      <c r="BN1" s="595"/>
    </row>
    <row r="2" spans="1:66" s="10" customFormat="1" ht="18" customHeight="1">
      <c r="A2" s="3" t="s">
        <v>352</v>
      </c>
      <c r="B2" s="1"/>
      <c r="C2" s="982"/>
      <c r="D2" s="1150"/>
      <c r="E2" s="1150">
        <f>'1. KEY DATA'!F6</f>
        <v>364</v>
      </c>
      <c r="F2" s="379"/>
      <c r="G2" s="379"/>
      <c r="H2" s="379"/>
      <c r="I2" s="379"/>
      <c r="J2" s="379"/>
      <c r="K2" s="379"/>
      <c r="L2" s="379"/>
      <c r="M2" s="1244" t="s">
        <v>152</v>
      </c>
      <c r="N2" s="1245"/>
      <c r="O2" s="1245"/>
      <c r="P2" s="1245"/>
      <c r="Q2" s="1246"/>
      <c r="R2" s="379"/>
      <c r="S2" s="379"/>
      <c r="T2" s="379"/>
      <c r="U2" s="379"/>
      <c r="V2" s="379"/>
      <c r="W2" s="379"/>
      <c r="X2" s="379"/>
      <c r="Y2" s="379"/>
      <c r="Z2" s="379"/>
      <c r="AA2" s="379"/>
      <c r="AB2" s="379"/>
      <c r="AC2" s="379"/>
      <c r="AD2" s="379"/>
      <c r="AE2" s="379"/>
      <c r="AF2" s="379"/>
      <c r="AG2" s="379"/>
      <c r="AH2" s="379"/>
      <c r="AI2" s="379"/>
      <c r="AJ2" s="379"/>
      <c r="AK2" s="379"/>
      <c r="AL2" s="379"/>
      <c r="AM2" s="379"/>
      <c r="AN2" s="379"/>
      <c r="AO2" s="379"/>
      <c r="AP2" s="379"/>
      <c r="AQ2" s="379"/>
      <c r="AR2" s="379"/>
      <c r="AS2" s="379"/>
      <c r="AT2" s="379"/>
      <c r="AW2" s="1244" t="s">
        <v>152</v>
      </c>
      <c r="AX2" s="1245"/>
      <c r="AY2" s="1245"/>
      <c r="AZ2" s="1245"/>
      <c r="BA2" s="1246"/>
      <c r="BB2" s="58"/>
      <c r="BJ2" s="161"/>
      <c r="BK2" s="161"/>
      <c r="BL2" s="161"/>
      <c r="BM2" s="161"/>
      <c r="BN2" s="161"/>
    </row>
    <row r="3" spans="1:66" s="10" customFormat="1" ht="12.75" customHeight="1">
      <c r="A3" s="3"/>
      <c r="D3" s="58"/>
      <c r="M3" s="104"/>
      <c r="N3" s="114"/>
      <c r="O3" s="106" t="s">
        <v>153</v>
      </c>
      <c r="P3" s="107"/>
      <c r="Q3" s="108"/>
      <c r="AW3" s="104"/>
      <c r="AX3" s="114"/>
      <c r="AY3" s="106" t="s">
        <v>153</v>
      </c>
      <c r="AZ3" s="107"/>
      <c r="BA3" s="108"/>
      <c r="BB3" s="58"/>
      <c r="BJ3" s="61"/>
      <c r="BK3" s="58"/>
      <c r="BL3" s="66"/>
      <c r="BM3" s="61"/>
      <c r="BN3" s="59"/>
    </row>
    <row r="4" spans="1:66" s="10" customFormat="1" ht="14.1" customHeight="1">
      <c r="A4" s="3"/>
      <c r="D4" s="58"/>
      <c r="M4" s="105"/>
      <c r="N4" s="117"/>
      <c r="O4" s="106" t="s">
        <v>161</v>
      </c>
      <c r="P4" s="107"/>
      <c r="Q4" s="108"/>
      <c r="AW4" s="105"/>
      <c r="AX4" s="117"/>
      <c r="AY4" s="106" t="s">
        <v>161</v>
      </c>
      <c r="AZ4" s="107"/>
      <c r="BA4" s="108"/>
      <c r="BB4" s="58"/>
      <c r="BJ4" s="61"/>
      <c r="BK4" s="58"/>
      <c r="BL4" s="66"/>
      <c r="BM4" s="61"/>
      <c r="BN4" s="59"/>
    </row>
    <row r="5" spans="1:66" s="10" customFormat="1" ht="16.5" customHeight="1" thickBot="1">
      <c r="A5" s="3"/>
      <c r="B5" s="132"/>
      <c r="C5" s="132"/>
      <c r="D5" s="893"/>
      <c r="E5" s="132"/>
      <c r="F5" s="132"/>
      <c r="G5" s="132"/>
      <c r="H5" s="132"/>
      <c r="I5" s="132"/>
      <c r="J5" s="132"/>
      <c r="K5" s="132"/>
      <c r="L5" s="132"/>
      <c r="M5" s="1218"/>
      <c r="N5" s="1219"/>
      <c r="O5" s="109" t="s">
        <v>154</v>
      </c>
      <c r="P5" s="110"/>
      <c r="Q5" s="111"/>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W5" s="118"/>
      <c r="AX5" s="119"/>
      <c r="AY5" s="109" t="s">
        <v>154</v>
      </c>
      <c r="AZ5" s="110"/>
      <c r="BA5" s="111"/>
      <c r="BJ5" s="61"/>
      <c r="BK5" s="59"/>
      <c r="BL5" s="66"/>
      <c r="BM5" s="61"/>
      <c r="BN5" s="59"/>
    </row>
    <row r="6" spans="1:66" s="10" customFormat="1" ht="17.25" customHeight="1" thickBot="1">
      <c r="A6" s="3"/>
      <c r="B6" s="132"/>
      <c r="C6" s="140" t="s">
        <v>181</v>
      </c>
      <c r="D6" s="894"/>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c r="AK6" s="140"/>
      <c r="AL6" s="140"/>
      <c r="AM6" s="140"/>
      <c r="AN6" s="140"/>
      <c r="AO6" s="140"/>
      <c r="AP6" s="140"/>
      <c r="AQ6" s="140"/>
      <c r="AR6" s="140"/>
      <c r="AS6" s="140"/>
      <c r="AT6" s="140"/>
      <c r="BL6" s="11"/>
    </row>
    <row r="7" spans="1:66" s="10" customFormat="1" ht="16.5" customHeight="1" thickBot="1">
      <c r="A7" s="3"/>
      <c r="B7" s="582"/>
      <c r="D7" s="58"/>
      <c r="E7" s="640"/>
      <c r="F7" s="490"/>
      <c r="G7" s="490"/>
      <c r="H7" s="490"/>
      <c r="I7" s="645"/>
      <c r="J7" s="644"/>
      <c r="K7"/>
      <c r="L7"/>
      <c r="M7" s="640"/>
      <c r="N7" s="640"/>
      <c r="O7" s="640"/>
      <c r="P7" s="641"/>
      <c r="Q7" s="641"/>
      <c r="R7" s="642"/>
      <c r="S7" s="643"/>
      <c r="T7" s="643"/>
      <c r="U7" s="643"/>
      <c r="V7" s="643"/>
      <c r="W7" s="644"/>
      <c r="X7" s="645"/>
      <c r="Y7" s="644"/>
      <c r="Z7" s="644"/>
      <c r="AA7"/>
      <c r="AB7" s="662"/>
      <c r="AC7" s="662"/>
      <c r="AD7" s="662"/>
      <c r="AE7" s="662"/>
      <c r="AF7" s="662"/>
      <c r="AG7" s="1341" t="s">
        <v>322</v>
      </c>
      <c r="AH7" s="1342"/>
      <c r="AI7" s="1342"/>
      <c r="AJ7" s="1342"/>
      <c r="AK7" s="1342"/>
      <c r="AL7" s="1342"/>
      <c r="AM7" s="1342"/>
      <c r="AN7" s="1342"/>
      <c r="AO7" s="1343"/>
      <c r="AP7" s="662"/>
      <c r="AQ7" s="136"/>
      <c r="AR7" s="136"/>
      <c r="AS7"/>
      <c r="AT7"/>
      <c r="BA7" s="582"/>
      <c r="BD7" s="134"/>
      <c r="BF7" s="157"/>
      <c r="BI7" s="129"/>
      <c r="BK7" s="427"/>
    </row>
    <row r="8" spans="1:66" s="10" customFormat="1" ht="17.25" customHeight="1" thickTop="1">
      <c r="A8" s="3"/>
      <c r="B8" s="1582" t="s">
        <v>215</v>
      </c>
      <c r="C8" s="1585" t="s">
        <v>217</v>
      </c>
      <c r="D8" s="502"/>
      <c r="E8" s="1386" t="s">
        <v>289</v>
      </c>
      <c r="F8" s="1331" t="s">
        <v>276</v>
      </c>
      <c r="G8" s="1332"/>
      <c r="H8" s="1332"/>
      <c r="I8" s="1332"/>
      <c r="J8" s="1577"/>
      <c r="K8" s="1452" t="s">
        <v>235</v>
      </c>
      <c r="L8" s="1386" t="s">
        <v>228</v>
      </c>
      <c r="M8" s="1412" t="s">
        <v>296</v>
      </c>
      <c r="N8" s="1408" t="s">
        <v>306</v>
      </c>
      <c r="O8" s="1329"/>
      <c r="P8" s="1408" t="s">
        <v>293</v>
      </c>
      <c r="Q8" s="1409"/>
      <c r="R8" s="502"/>
      <c r="S8" s="1360" t="s">
        <v>298</v>
      </c>
      <c r="T8" s="1361"/>
      <c r="U8" s="1361"/>
      <c r="V8" s="1379"/>
      <c r="W8" s="1339" t="s">
        <v>292</v>
      </c>
      <c r="X8" s="1339"/>
      <c r="Y8" s="1339"/>
      <c r="Z8" s="1339"/>
      <c r="AA8" s="663"/>
      <c r="AB8" s="1360" t="s">
        <v>324</v>
      </c>
      <c r="AC8" s="1361"/>
      <c r="AD8" s="1361"/>
      <c r="AE8" s="1361"/>
      <c r="AF8" s="663"/>
      <c r="AG8" s="1354" t="s">
        <v>276</v>
      </c>
      <c r="AH8" s="1355"/>
      <c r="AI8" s="1355"/>
      <c r="AJ8" s="1355"/>
      <c r="AK8" s="1356"/>
      <c r="AL8" s="1351" t="s">
        <v>323</v>
      </c>
      <c r="AM8" s="1352"/>
      <c r="AN8" s="1353"/>
      <c r="AO8" s="1348" t="s">
        <v>321</v>
      </c>
      <c r="AP8" s="663"/>
      <c r="AQ8" s="1362" t="s">
        <v>169</v>
      </c>
      <c r="AR8" s="1363"/>
      <c r="AS8" s="502"/>
      <c r="AT8" s="1452" t="s">
        <v>259</v>
      </c>
      <c r="AV8" s="1360" t="s">
        <v>163</v>
      </c>
      <c r="AW8" s="1361"/>
      <c r="AX8" s="1361"/>
      <c r="AY8" s="1361"/>
      <c r="AZ8" s="1379"/>
      <c r="BA8" s="1389" t="s">
        <v>245</v>
      </c>
      <c r="BC8" s="597" t="s">
        <v>116</v>
      </c>
      <c r="BD8" s="157"/>
      <c r="BE8" s="1595" t="s">
        <v>256</v>
      </c>
      <c r="BF8" s="157"/>
      <c r="BG8" s="1591" t="s">
        <v>358</v>
      </c>
      <c r="BH8" s="1592"/>
      <c r="BI8" s="129"/>
      <c r="BJ8" s="1595" t="s">
        <v>257</v>
      </c>
      <c r="BK8" s="427"/>
    </row>
    <row r="9" spans="1:66" ht="30" customHeight="1">
      <c r="A9" s="5"/>
      <c r="B9" s="1583"/>
      <c r="C9" s="1586"/>
      <c r="D9" s="502"/>
      <c r="E9" s="1387"/>
      <c r="F9" s="1573" t="s">
        <v>297</v>
      </c>
      <c r="G9" s="1427"/>
      <c r="H9" s="1317" t="s">
        <v>327</v>
      </c>
      <c r="I9" s="1413" t="s">
        <v>300</v>
      </c>
      <c r="J9" s="1317" t="s">
        <v>301</v>
      </c>
      <c r="K9" s="1387"/>
      <c r="L9" s="1387"/>
      <c r="M9" s="1413"/>
      <c r="N9" s="1317" t="s">
        <v>291</v>
      </c>
      <c r="O9" s="1377" t="s">
        <v>334</v>
      </c>
      <c r="P9" s="1317" t="s">
        <v>291</v>
      </c>
      <c r="Q9" s="1410" t="s">
        <v>310</v>
      </c>
      <c r="R9" s="502"/>
      <c r="S9" s="1415" t="s">
        <v>299</v>
      </c>
      <c r="T9" s="1428" t="s">
        <v>309</v>
      </c>
      <c r="U9" s="1429"/>
      <c r="V9" s="1416" t="s">
        <v>302</v>
      </c>
      <c r="W9" s="1418" t="s">
        <v>288</v>
      </c>
      <c r="X9" s="1317" t="s">
        <v>290</v>
      </c>
      <c r="Y9" s="1317" t="s">
        <v>308</v>
      </c>
      <c r="Z9" s="1410" t="s">
        <v>305</v>
      </c>
      <c r="AA9" s="157"/>
      <c r="AB9" s="1415" t="s">
        <v>69</v>
      </c>
      <c r="AC9" s="1319" t="s">
        <v>91</v>
      </c>
      <c r="AD9" s="1319" t="s">
        <v>68</v>
      </c>
      <c r="AE9" s="1416" t="s">
        <v>67</v>
      </c>
      <c r="AF9" s="157"/>
      <c r="AG9" s="1402" t="s">
        <v>307</v>
      </c>
      <c r="AH9" s="1403"/>
      <c r="AI9" s="1404"/>
      <c r="AJ9" s="1357" t="s">
        <v>330</v>
      </c>
      <c r="AK9" s="1319" t="s">
        <v>332</v>
      </c>
      <c r="AL9" s="1344" t="s">
        <v>318</v>
      </c>
      <c r="AM9" s="1344" t="s">
        <v>319</v>
      </c>
      <c r="AN9" s="1346" t="s">
        <v>320</v>
      </c>
      <c r="AO9" s="1349"/>
      <c r="AP9" s="502"/>
      <c r="AQ9" s="1377" t="s">
        <v>311</v>
      </c>
      <c r="AR9" s="1377" t="s">
        <v>312</v>
      </c>
      <c r="AS9" s="502"/>
      <c r="AT9" s="1588"/>
      <c r="AV9" s="591" t="s">
        <v>255</v>
      </c>
      <c r="AW9" s="592" t="s">
        <v>11</v>
      </c>
      <c r="AX9" s="592" t="s">
        <v>4</v>
      </c>
      <c r="AY9" s="592" t="s">
        <v>162</v>
      </c>
      <c r="AZ9" s="120" t="s">
        <v>151</v>
      </c>
      <c r="BA9" s="1389"/>
      <c r="BC9" s="1389" t="s">
        <v>258</v>
      </c>
      <c r="BD9" s="157"/>
      <c r="BE9" s="1596"/>
      <c r="BF9" s="157"/>
      <c r="BG9" s="1593"/>
      <c r="BH9" s="1594"/>
      <c r="BI9" s="130"/>
      <c r="BJ9" s="1596"/>
      <c r="BK9" s="427"/>
      <c r="BL9"/>
    </row>
    <row r="10" spans="1:66" s="9" customFormat="1" ht="45.75" customHeight="1" thickBot="1">
      <c r="B10" s="1584"/>
      <c r="C10" s="1587"/>
      <c r="D10" s="502"/>
      <c r="E10" s="1391"/>
      <c r="F10" s="660" t="s">
        <v>277</v>
      </c>
      <c r="G10" s="660" t="s">
        <v>294</v>
      </c>
      <c r="H10" s="1334"/>
      <c r="I10" s="1378"/>
      <c r="J10" s="1334"/>
      <c r="K10" s="1391"/>
      <c r="L10" s="1359"/>
      <c r="M10" s="1378"/>
      <c r="N10" s="1334"/>
      <c r="O10" s="1378"/>
      <c r="P10" s="1334"/>
      <c r="Q10" s="1411"/>
      <c r="R10" s="502"/>
      <c r="S10" s="1407"/>
      <c r="T10" s="796" t="s">
        <v>278</v>
      </c>
      <c r="U10" s="796" t="s">
        <v>291</v>
      </c>
      <c r="V10" s="1417"/>
      <c r="W10" s="1419"/>
      <c r="X10" s="1334"/>
      <c r="Y10" s="1334"/>
      <c r="Z10" s="1411"/>
      <c r="AA10" s="157"/>
      <c r="AB10" s="1407"/>
      <c r="AC10" s="1359"/>
      <c r="AD10" s="1359"/>
      <c r="AE10" s="1417"/>
      <c r="AF10" s="157"/>
      <c r="AG10" s="794" t="s">
        <v>315</v>
      </c>
      <c r="AH10" s="795" t="s">
        <v>316</v>
      </c>
      <c r="AI10" s="795" t="s">
        <v>317</v>
      </c>
      <c r="AJ10" s="1358"/>
      <c r="AK10" s="1359"/>
      <c r="AL10" s="1345"/>
      <c r="AM10" s="1345"/>
      <c r="AN10" s="1347"/>
      <c r="AO10" s="1350"/>
      <c r="AP10" s="502"/>
      <c r="AQ10" s="1378"/>
      <c r="AR10" s="1378"/>
      <c r="AS10" s="502"/>
      <c r="AT10" s="1359"/>
      <c r="AV10" s="332">
        <f>'3. Payroll'!BY67</f>
        <v>0</v>
      </c>
      <c r="AW10" s="156">
        <f>'4. Property'!AT30</f>
        <v>0</v>
      </c>
      <c r="AX10" s="156">
        <f>'5. Transport'!AO50</f>
        <v>0</v>
      </c>
      <c r="AY10" s="156">
        <f>'6. Direct OH'!M31</f>
        <v>0</v>
      </c>
      <c r="AZ10" s="333">
        <f>'7. Admin OH'!P12</f>
        <v>0</v>
      </c>
      <c r="BA10" s="1390"/>
      <c r="BC10" s="1390"/>
      <c r="BD10" s="157"/>
      <c r="BE10" s="1597"/>
      <c r="BF10" s="92"/>
      <c r="BG10" s="606" t="s">
        <v>359</v>
      </c>
      <c r="BH10" s="515" t="s">
        <v>360</v>
      </c>
      <c r="BI10" s="130"/>
      <c r="BJ10" s="1597"/>
      <c r="BK10" s="427"/>
    </row>
    <row r="11" spans="1:66" s="9" customFormat="1" ht="8.25" customHeight="1" thickBot="1">
      <c r="A11" s="16"/>
      <c r="B11" s="144"/>
      <c r="C11" s="157"/>
      <c r="D11" s="157"/>
      <c r="E11" s="17"/>
      <c r="F11" s="17"/>
      <c r="G11" s="17"/>
      <c r="H11" s="17"/>
      <c r="I11" s="17"/>
      <c r="J11" s="17"/>
      <c r="K11" s="17"/>
      <c r="L11" s="17"/>
      <c r="M11" s="17"/>
      <c r="N11" s="17"/>
      <c r="O11" s="17"/>
      <c r="P11" s="17"/>
      <c r="Q11" s="17"/>
      <c r="R11" s="17"/>
      <c r="S11" s="17"/>
      <c r="T11" s="17"/>
      <c r="U11" s="17"/>
      <c r="V11" s="681"/>
      <c r="W11" s="17"/>
      <c r="X11" s="17"/>
      <c r="Y11" s="17"/>
      <c r="Z11" s="17"/>
      <c r="AA11" s="17"/>
      <c r="AB11" s="17"/>
      <c r="AC11" s="17"/>
      <c r="AD11" s="17"/>
      <c r="AE11" s="17"/>
      <c r="AF11" s="17"/>
      <c r="AG11" s="680"/>
      <c r="AH11" s="680"/>
      <c r="AI11" s="680"/>
      <c r="AJ11" s="680"/>
      <c r="AK11" s="490"/>
      <c r="AL11" s="495"/>
      <c r="AM11" s="495"/>
      <c r="AN11" s="495"/>
      <c r="AO11" s="495"/>
      <c r="AP11" s="17"/>
      <c r="AQ11" s="17"/>
      <c r="AR11" s="17"/>
      <c r="AS11" s="17"/>
      <c r="AT11" s="17"/>
      <c r="BI11" s="48"/>
      <c r="BK11" s="59"/>
    </row>
    <row r="12" spans="1:66" s="9" customFormat="1" ht="19.5" customHeight="1" thickBot="1">
      <c r="A12" s="16"/>
      <c r="B12" s="1580" t="s">
        <v>86</v>
      </c>
      <c r="C12" s="1581"/>
      <c r="D12" s="895"/>
      <c r="E12" s="619"/>
      <c r="F12" s="619"/>
      <c r="G12" s="619"/>
      <c r="H12" s="619"/>
      <c r="I12" s="17"/>
      <c r="J12" s="17"/>
      <c r="K12" s="17"/>
      <c r="L12" s="17"/>
      <c r="M12" s="619"/>
      <c r="N12" s="619"/>
      <c r="O12" s="619"/>
      <c r="P12" s="619"/>
      <c r="Q12" s="619"/>
      <c r="R12" s="619"/>
      <c r="S12" s="23"/>
      <c r="T12" s="619"/>
      <c r="U12" s="619"/>
      <c r="V12" s="23"/>
      <c r="W12" s="17"/>
      <c r="X12" s="17"/>
      <c r="Y12" s="17"/>
      <c r="Z12" s="17"/>
      <c r="AA12" s="17"/>
      <c r="AB12" s="17"/>
      <c r="AC12" s="17"/>
      <c r="AD12" s="17"/>
      <c r="AE12" s="17"/>
      <c r="AF12" s="17"/>
      <c r="AG12" s="17"/>
      <c r="AH12" s="17"/>
      <c r="AI12" s="17"/>
      <c r="AJ12" s="17"/>
      <c r="AK12" s="490"/>
      <c r="AL12" s="495"/>
      <c r="AM12" s="495"/>
      <c r="AN12" s="495"/>
      <c r="AO12" s="495"/>
      <c r="AP12" s="17"/>
      <c r="AQ12" s="17"/>
      <c r="AR12" s="17"/>
      <c r="AS12" s="17"/>
      <c r="AT12" s="17"/>
      <c r="BI12" s="48"/>
      <c r="BK12" s="59"/>
    </row>
    <row r="13" spans="1:66" s="9" customFormat="1" ht="8.25" customHeight="1" thickBot="1">
      <c r="A13" s="16"/>
      <c r="B13" s="428"/>
      <c r="C13" s="428"/>
      <c r="D13" s="428"/>
      <c r="E13" s="17"/>
      <c r="F13" s="17"/>
      <c r="G13" s="17"/>
      <c r="H13" s="17"/>
      <c r="I13" s="24"/>
      <c r="J13" s="24"/>
      <c r="K13" s="24"/>
      <c r="L13" s="24"/>
      <c r="M13" s="17"/>
      <c r="N13" s="17"/>
      <c r="O13" s="17"/>
      <c r="P13" s="24"/>
      <c r="Q13" s="24"/>
      <c r="R13" s="17"/>
      <c r="S13" s="17"/>
      <c r="T13" s="24"/>
      <c r="U13" s="24"/>
      <c r="V13" s="24"/>
      <c r="W13" s="24"/>
      <c r="X13" s="24"/>
      <c r="Y13" s="24"/>
      <c r="Z13" s="24"/>
      <c r="AA13" s="17"/>
      <c r="AB13" s="24"/>
      <c r="AC13" s="24"/>
      <c r="AD13" s="24"/>
      <c r="AE13" s="24"/>
      <c r="AF13" s="17"/>
      <c r="AG13" s="24"/>
      <c r="AH13" s="24"/>
      <c r="AI13" s="24"/>
      <c r="AJ13" s="24"/>
      <c r="AK13" s="643"/>
      <c r="AL13" s="496"/>
      <c r="AM13" s="496"/>
      <c r="AN13" s="496"/>
      <c r="AO13" s="496"/>
      <c r="AP13" s="17"/>
      <c r="AQ13" s="24"/>
      <c r="AR13" s="24"/>
      <c r="AS13" s="17"/>
      <c r="AT13" s="24"/>
      <c r="BI13" s="48"/>
      <c r="BK13" s="59"/>
    </row>
    <row r="14" spans="1:66" s="9" customFormat="1" ht="15.75" thickTop="1">
      <c r="B14" s="596">
        <v>1</v>
      </c>
      <c r="C14" s="584" t="s">
        <v>73</v>
      </c>
      <c r="D14" s="896"/>
      <c r="E14" s="698">
        <f>'1. KEY DATA'!E6</f>
        <v>0</v>
      </c>
      <c r="F14" s="697"/>
      <c r="G14" s="659"/>
      <c r="H14" s="701"/>
      <c r="I14" s="691"/>
      <c r="J14" s="692"/>
      <c r="K14" s="1086"/>
      <c r="L14" s="688"/>
      <c r="M14" s="628"/>
      <c r="N14" s="628"/>
      <c r="O14" s="637">
        <f>'1. KEY DATA'!B25</f>
        <v>0.03</v>
      </c>
      <c r="P14" s="797"/>
      <c r="Q14" s="658" t="str">
        <f t="shared" ref="Q14:Q23" si="0">IF(AND(G14&gt;0.9,G14&lt;3),0.23,IF(AND(G14&gt;2.9,G14&lt;4),0.26,IF(AND(G14&gt;3.9,G14&lt;5),0.32,IF(AND(G14&gt;4.9,G14&lt;6),0.37,IF(AND(G14&gt;5.9,G14&lt;7),0.4,IF(AND(G14&gt;6.9,G14&lt;8),0.42,IF(G14&gt;7.9,0.45,"-")))))))</f>
        <v>-</v>
      </c>
      <c r="R14" s="649"/>
      <c r="S14" s="650"/>
      <c r="T14" s="827"/>
      <c r="U14" s="669"/>
      <c r="V14" s="798">
        <f>S14*(1+T14)</f>
        <v>0</v>
      </c>
      <c r="W14" s="656">
        <f>IF(OR(F14=0,G14=0),0,IF(F14='2. AWARDS'!G$7,VLOOKUP(G14,'2. AWARDS'!$C$9:$F$35,4,FALSE),IF(F14='2. AWARDS'!H$7,VLOOKUP(G14,'2. AWARDS'!$C$9:$G$35,5,FALSE),IF(F14='2. AWARDS'!I$7,VLOOKUP(G14,'2. AWARDS'!$C$9:$H$35,6,FALSE),IF(F14='2. AWARDS'!J$7,VLOOKUP(G14,'2. AWARDS'!$C$9:$I$35,7,FALSE),VLOOKUP(G14,'2. AWARDS'!$C$9:$J$35,8,FALSE))))))</f>
        <v>0</v>
      </c>
      <c r="X14" s="980">
        <f>IF(OR(F14=0,G14=0),0,IF(AND(M14=0,F14='2. AWARDS'!F$7,VLOOKUP(G14,'2. AWARDS'!$C$9:$O$35,9,FALSE)&lt;&gt;0),"date missing",IF(AND(M14=0,F14='2. AWARDS'!G$7,VLOOKUP(G14,'2. AWARDS'!$C$9:$O$35,10,FALSE)&lt;&gt;0),"date missing",IF(AND(M14=0,F14='2. AWARDS'!H$7,VLOOKUP(G14,'2. AWARDS'!$C$9:$O$35,11,FALSE)&lt;&gt;0),"date missing",IF(AND(M14=0,F14='2. AWARDS'!I$7,VLOOKUP(G14,'2. AWARDS'!$C$9:$O$35,12,FALSE)&lt;&gt;0),"date missing",IF(AND(M14=0,F14='2. AWARDS'!J$7,VLOOKUP(G14,'2. AWARDS'!$C$9:$O$35,13,FALSE)&lt;&gt;0),"date missing",IF(M14=0,0,IF(OR(M14=MIN(N14,P14),AND(M14&lt;N14,M14&lt;P14,M14&gt;0)),IF(F14='2. AWARDS'!G$7,VLOOKUP(G14,'2. AWARDS'!$C$9:$O$35,9,FALSE),IF(F14='2. AWARDS'!H$7,VLOOKUP(G14,'2. AWARDS'!$C$9:$O$35,10,FALSE),IF(F14='2. AWARDS'!I$7,VLOOKUP(G14,'2. AWARDS'!$C$9:$O$35,11,FALSE),IF(F14='2. AWARDS'!J$7,VLOOKUP(G14,'2. AWARDS'!$C$9:$O$35,12,FALSE),IF(F14='2. AWARDS'!J$7,VLOOKUP(G14,'2. AWARDS'!$C$9:$O$35,13,FALSE)))))),IF(AND(M14&gt;N14,M14&lt;P14),IF(F14='2. AWARDS'!F$7,(1+O14)*VLOOKUP(G14,'2. AWARDS'!$C$9:$O$35,9,FALSE),IF(F14='2. AWARDS'!G$7,(1+O14)*VLOOKUP(G14,'2. AWARDS'!$C$9:$O$35,10,FALSE),IF(F14='2. AWARDS'!H$7,(1+O14)*VLOOKUP(G14,'2. AWARDS'!$C$9:$O$35,11,FALSE),IF(F14='2. AWARDS'!I$7,(1+O14)*VLOOKUP(G14,'2. AWARDS'!$C$9:$O$35,12,FALSE),IF(F14='2. AWARDS'!J$7,(1+O14)*VLOOKUP(G14,'2. AWARDS'!$C$9:$O$35,13,FALSE)))))),IF(AND(M14&lt;N14,M14&gt;P14),IF(F14='2. AWARDS'!F$7,(1+(Q14/9))*VLOOKUP(G14,'2. AWARDS'!$C$9:$O$35,9,FALSE),IF(F14='2. AWARDS'!G$7,(1+(Q14/9))*VLOOKUP(G14,'2. AWARDS'!$C$9:$O$35,10,FALSE),IF(F14='2. AWARDS'!H$7,(1+(Q14/9))*VLOOKUP(G14,'2. AWARDS'!$C$9:$O$35,11,FALSE),IF(F14='2. AWARDS'!I$7,(1+(Q14/9))*VLOOKUP(G14,'2. AWARDS'!$C$9:$O$35,12,FALSE),IF(F14='2. AWARDS'!J$7,(1+(Q14/9))*VLOOKUP(G14,'2. AWARDS'!$C$9:$O$35,13,FALSE)))))),IF(OR(M14=MAX(N14,P14),AND(M14&gt;N14,M14&gt;P14)),IF(F14='2. AWARDS'!F$7,((1+(Q14/9))*(1+O14))*VLOOKUP(G14,'2. AWARDS'!$C$9:$O$35,9,FALSE),IF(F14='2. AWARDS'!G$7,((1+(Q14/9))*(1+O14))*VLOOKUP(G14,'2. AWARDS'!$C$9:$O$35,10,FALSE),IF(F14='2. AWARDS'!H$7,((1+(Q14/9))*(1+O14))*VLOOKUP(G14,'2. AWARDS'!$C$9:$O$35,11,FALSE),IF(F14='2. AWARDS'!I$7,((1+(Q14/9))*(1+O14))*VLOOKUP(G14,'2. AWARDS'!$C$9:$O$35,12,FALSE),IF(F14='2. AWARDS'!J$7,((1+(Q14/9))*(1+O14))*VLOOKUP(G14,'2. AWARDS'!$C$9:$O$35,13,FALSE)))))),"?")))))))))))</f>
        <v>0</v>
      </c>
      <c r="Y14" s="984" t="e">
        <f>IF(AND(F14='2. AWARDS'!G7,N14&gt;M14,N14&gt;P14,VLOOKUP(G14,'2. AWARDS'!$C$9:$O$35,9,FALSE)&lt;&gt;0),VLOOKUP(G14,'2. AWARDS'!$C$9:$O$35,9,FALSE)*(1+O14)*(1+(Q14/9)),IF(AND(F14='2. AWARDS'!G7,N14&gt;M14,N14&gt;P14,VLOOKUP(G14,'2. AWARDS'!$C$9:$O$35,9,FALSE)=0),W14*(1+O14)*(1+(Q14/9)),IF(AND(F14='2. AWARDS'!H7,N14&gt;M14,N14&gt;P14,VLOOKUP(G14,'2. AWARDS'!$C$9:$O$35,10,FALSE)&lt;&gt;0),VLOOKUP(G14,'2. AWARDS'!$C$9:$O$35,10,FALSE)*(1+O14)*(1+(Q14/9)),IF(AND(F14='2. AWARDS'!H7,N14&gt;M14,N14&gt;P14,VLOOKUP(G14,'2. AWARDS'!$C$9:$O$35,10,FALSE)=0),W14*(1+O14)*(1+(Q14/9)),IF(AND(F14='2. AWARDS'!I7,N14&gt;M14,N14&gt;P14,VLOOKUP(G14,'2. AWARDS'!$C$9:$O$35,11,FALSE)&lt;&gt;0),VLOOKUP(G14,'2. AWARDS'!$C$9:$O$35,11,FALSE)*(1+O14)*(1+(Q14/9)),IF(AND(F14='2. AWARDS'!I7,N14&gt;M14,N14&gt;P14,VLOOKUP(G14,'2. AWARDS'!$C$9:$O$35,11,FALSE)=0),W14*(1+O14)*(1+(Q14/9)),IF(AND(F14='2. AWARDS'!J7,N14&gt;M14,N14&gt;P14,VLOOKUP(G14,'2. AWARDS'!$C$9:$O$35,12,FALSE)&lt;&gt;0),VLOOKUP(G14,'2. AWARDS'!$C$9:$O$35,12,FALSE)*(1+O14)*(1+(Q14/9)),IF(AND(F14='2. AWARDS'!J7,N14&gt;M14,N14&gt;P14,VLOOKUP(G14,'2. AWARDS'!$C$9:$O$35,12,FALSE)=0),W14*(1+O14)*(1+(Q14/9)),IF(AND(F14='2. AWARDS'!K7,N14&gt;M14,N14&gt;P14,VLOOKUP(G14,'2. AWARDS'!$C$9:$O$35,13,FALSE)&lt;&gt;0),VLOOKUP(G14,'2. AWARDS'!$C$9:$O$35,13,FALSE)*(1+O14)*(1+(Q14/9)),IF(AND(F14='2. AWARDS'!K7,N14&gt;M14,N14&gt;P14,VLOOKUP(G14,'2. AWARDS'!$C$9:$O$35,13,FALSE)=0),W14*(1+O14)*(1+(Q14/9)),IF(AND(N14&lt;M14,N14&gt;P14),W14*(1+O14)*(1+(Q14/9)),IF(AND(F14='2. AWARDS'!G7,N14=MAX(M14,P14),VLOOKUP(G14,'2. AWARDS'!$C$9:$O$35,9,FALSE)&lt;&gt;0),VLOOKUP(G14,'2. AWARDS'!$C$9:$O$35,9,FALSE)*(1+O14)*(1+(Q14/9)),IF(AND(F14='2. AWARDS'!G7,N14=MAX(M14,P14),VLOOKUP(G14,'2. AWARDS'!$C$9:$O$35,9,FALSE)=0),W14*(1+O14)*(1+(Q14/9)),IF(AND(F14='2. AWARDS'!H7,N14=MAX(M14,P14),VLOOKUP(G14,'2. AWARDS'!$C$9:$O$35,10,FALSE)&lt;&gt;0),VLOOKUP(G14,'2. AWARDS'!$C$9:$O$35,10,FALSE)*(1+O14)*(1+(Q14/9)),IF(AND(F14='2. AWARDS'!H7,N14=MAX(M14,P14),VLOOKUP(G14,'2. AWARDS'!$C$9:$O$35,10,FALSE)=0),W14*(1+O14)*(1+(Q14/9)),IF(AND(F14='2. AWARDS'!I7,N14=MAX(M14,P14),VLOOKUP(G14,'2. AWARDS'!$C$9:$O$35,11,FALSE)&lt;&gt;0),VLOOKUP(G14,'2. AWARDS'!$C$9:$O$35,11,FALSE)*(1+O14)*(1+(Q14/9)),IF(AND(F14='2. AWARDS'!I7,N14=MAX(M14,P14),VLOOKUP(G14,'2. AWARDS'!$C$9:$O$35,11,FALSE)=0),W14*(1+O14)*(1+(Q14/9)),IF(AND(F14='2. AWARDS'!J7,N14=MAX(M14,P14),VLOOKUP(G14,'2. AWARDS'!$C$9:$O$35,12,FALSE)&lt;&gt;0),VLOOKUP(G14,'2. AWARDS'!$C$9:$O$35,12,FALSE)*(1+O14)*(1+(Q14/9)),IF(AND(F14='2. AWARDS'!J7,N14=MAX(M14,P14),VLOOKUP(G14,'2. AWARDS'!$C$9:$O$35,12,FALSE)=0),W14*(1+O14)*(1+(Q14/9)),IF(AND(F14='2. AWARDS'!K7,N14=MAX(M14,P14),VLOOKUP(G14,'2. AWARDS'!$C$9:$O$35,13,FALSE)&lt;&gt;0),VLOOKUP(G14,'2. AWARDS'!$C$9:$O$35,13,FALSE)*(1+O14)*(1+(Q14/9)),IF(AND(F14='2. AWARDS'!K7,N14=MAX(M14,P14),VLOOKUP(G14,'2. AWARDS'!$C$9:$O$35,13,FALSE)=0),W14*(1+O14)*(1+(Q14/9)),IF(AND(N14&lt;M14,N14&lt;P14),W14*(1+O14),IF(AND(N14=M14,M14&lt;P14,F14='2. AWARDS'!G7),VLOOKUP(G14,'2. AWARDS'!$C$9:$O$35,9,FALSE)*(1+O14),IF(AND(N14=M14,M14&lt;P14,F14='2. AWARDS'!H7),VLOOKUP(G14,'2. AWARDS'!$C$9:$O$35,10,FALSE)*(1+O14),IF(AND(N14=M14,M14&lt;P14,F14='2. AWARDS'!I7),VLOOKUP(G14,'2. AWARDS'!$C$9:$O$35,11,FALSE)*(1+O14),IF(AND(N14=M14,M14&lt;P14,F14='2. AWARDS'!J7),VLOOKUP(G14,'2. AWARDS'!$C$9:$O$35,12,FALSE)*(1+O14),IF(AND(N14=M14,M14&lt;P14,F14='2. AWARDS'!K7),VLOOKUP(G14,'2. AWARDS'!$C$9:$O$35,13,FALSE)*(1+O14),IF(AND(N14=P14,M14&gt;P14),W14*(1+O14)*(1+(Q14/9)),IF(AND(F14='2. AWARDS'!G7,N14&gt;M14,N14&lt;P14,VLOOKUP(G14,'2. AWARDS'!$C$9:$O$35,9,FALSE)&lt;&gt;0),VLOOKUP(G14,'2. AWARDS'!$C$9:$O$35,9,FALSE)*(1+O14),IF(AND(F14='2. AWARDS'!H7,N14&gt;M14,N14&lt;P14,VLOOKUP(G14,'2. AWARDS'!$C$9:$O$35,10,FALSE)&lt;&gt;0),VLOOKUP(G14,'2. AWARDS'!$C$9:$O$35,10,FALSE)*(1+O14),IF(AND(F14='2. AWARDS'!I7,N14&gt;M14,N14&lt;P14,VLOOKUP(G14,'2. AWARDS'!$C$9:$O$35,11,FALSE)&lt;&gt;0),VLOOKUP(G14,'2. AWARDS'!$C$9:$O$35,11,FALSE)*(1+O14),IF(AND(F14='2. AWARDS'!J7,N14&gt;M14,N14&lt;P14,VLOOKUP(G14,'2. AWARDS'!$C$9:$O$35,12,FALSE)&lt;&gt;0),VLOOKUP(G14,'2. AWARDS'!$C$9:$O$35,12,FALSE)*(1+O14),IF(AND(F14='2. AWARDS'!K7,N14&gt;M14,N14&lt;P14,VLOOKUP(G14,'2. AWARDS'!$C$9:$O$35,13,FALSE)&lt;&gt;0),VLOOKUP(G14,'2. AWARDS'!$C$9:$O$35,13,FALSE)*(1+O14),W14*(1+O14))))))))))))))))))))))))))))))))))</f>
        <v>#N/A</v>
      </c>
      <c r="Z14" s="661" t="e">
        <f>IF(OR(P14=MAX(M14,N14),AND(P14&gt;N14,P14&gt;M14)),(MAX(X14,Y14)*(Q14/9))+MAX(X14:Y14),IF(OR(P14=MIN(M14,N14),AND(P14&lt;M14,P14&lt;N14)),W14*(1+(Q14/9)),IF(AND(P14&lt;N14,P14&gt;M14,X14&gt;0),X14*(1+(Q14/9)),IF(AND(P14&lt;N14,P14&gt;M14,X14=0),W14*(1+(Q14/9)),W14*(1+O14)*(1+(Q14/9))))))</f>
        <v>#N/A</v>
      </c>
      <c r="AA14" s="683"/>
      <c r="AB14" s="774"/>
      <c r="AC14" s="777"/>
      <c r="AD14" s="781" t="e">
        <f>HLOOKUP(F14,'2. AWARDS'!$F$7:$J$40,32,FALSE)/5*HLOOKUP(F14,'2. AWARDS'!$F$7:$J$40,31,FALSE)*MAX(V14:Z14)*L14*HLOOKUP(F14,'2. AWARDS'!$F$7:$J$40,34,FALSE)</f>
        <v>#N/A</v>
      </c>
      <c r="AE14" s="782" t="e">
        <f>((HLOOKUP(F14,'2. AWARDS'!$F$7:$J$42,36,FALSE)/HLOOKUP(F14,'2. AWARDS'!$F$7:$J$42,35,FALSE)*HLOOKUP(F14,'2. AWARDS'!$F$7:$J$45,39,FALSE))/(HLOOKUP(F14,'2. AWARDS'!$F$7:$J$45,31,FALSE)*2)*K14*L14*HLOOKUP(F14,'2. AWARDS'!$F$7:$J$45,31,FALSE)*MAX(V14:Z14))</f>
        <v>#N/A</v>
      </c>
      <c r="AF14" s="474"/>
      <c r="AG14" s="800"/>
      <c r="AH14" s="801"/>
      <c r="AI14" s="801"/>
      <c r="AJ14" s="802"/>
      <c r="AK14" s="803"/>
      <c r="AL14" s="836">
        <f>IF(AG14="YES",HLOOKUP(F14,'2. AWARDS'!$F$7:$J$38,32,FALSE)/5*HLOOKUP(F14,'2. AWARDS'!$F$7:$J$37,31,FALSE)*K14/(HLOOKUP(F14,'2. AWARDS'!$F$7:$J$37,31,FALSE)*2)*L14*MAX(V14:Z14)*(1+HLOOKUP(F14,'2. AWARDS'!$F$7:$J$43,37,FALSE))*(1-AJ14),0)</f>
        <v>0</v>
      </c>
      <c r="AM14" s="836">
        <f>IF(AH14="YES",HLOOKUP(F14,'2. AWARDS'!$F$7:$J$39,33,FALSE)/5*HLOOKUP(F14,'2. AWARDS'!$F$7:$J$37,31,FALSE)*K14/(HLOOKUP(F14,'2. AWARDS'!$F$7:$J$37,31,FALSE)*2)*L14*MAX(V14:Z14)*(1+HLOOKUP(F14,'2. AWARDS'!$F$7:$J$43,37,FALSE))*(1-AJ14),0)</f>
        <v>0</v>
      </c>
      <c r="AN14" s="836">
        <f>IF(AI14="YES",HLOOKUP(F14,'2. AWARDS'!$F$7:$J$47,40,FALSE)/5*HLOOKUP(F14,'2. AWARDS'!$F$7:$J$37,31,FALSE)*K14/(HLOOKUP(F14,'2. AWARDS'!$F$7:$J$37,31,FALSE)*2)*L14*MAX(V14:Z14)*(1+HLOOKUP(F14,'2. AWARDS'!$F$7:$J$43,37,FALSE))*(1-AJ14),0)</f>
        <v>0</v>
      </c>
      <c r="AO14" s="837" t="e">
        <f>(IF(AG14="YES",HLOOKUP(F14,'2. AWARDS'!$F$7:$J$39,32,FALSE),0)+IF(AH14="YES",HLOOKUP(F14,'2. AWARDS'!$F$7:$J$39,33,FALSE),0)+IF(AI14="YES",HLOOKUP(F14,'2. AWARDS'!$F$7:$J$47,40,FALSE),0))/5*(HLOOKUP(F14,'2. AWARDS'!$F$7:$J$39,31,FALSE)*2)*AJ14*AK14</f>
        <v>#N/A</v>
      </c>
      <c r="AP14" s="683"/>
      <c r="AQ14" s="802">
        <f>'1. KEY DATA'!J$29</f>
        <v>0</v>
      </c>
      <c r="AR14" s="1141">
        <f>'1. KEY DATA'!J$30</f>
        <v>0.09</v>
      </c>
      <c r="AS14" s="502"/>
      <c r="AT14" s="341">
        <f t="shared" ref="AT14:AT23" si="1">IF(AND(F14&lt;&gt;0,G14&lt;&gt;0,K14&lt;&gt;0,L14&lt;&gt;0),IF(V14&gt;MAX(W14:Z14),((((S14*(U14-E14+1))+( V14*(E14+365-U14-1)))/365*(1+I14+J14)*K14*L14*26.071428)+SUM(AB14:AE14)+SUM(AL14:AN14))*(1+AQ14+AR14)+AO14,IF(X14=0,(((((W14*(SUM(M14:P14)-MAX(M14,N14,P14)-E14+1))+(MIN(Y14,Z14)*(MAX(M14,N14,P14)-MIN(M14,N14,P14))+(MAX(Y14,Z14)*(E14+365-1-MAX(M14,N14,P14)))))/365)*(1+I14+J14)*K14*L14*26.071428)+SUM(AB14:AE14)+SUM(AL14:AN14))*(1+AQ14+AR14)+AO14,IF(X14&lt;AND(Y14,Z14),(((((W14*(M14-E14+1))+(X14*(MIN(N14,P14)-M14))+(MIN(Y14,Z14)*(MAX(N14,P14)-MIN(N14,P14)))+(MAX(Y14,Z14)*(E14+365-MAX(N14,P14)-1)))/365)*(1+I14+J14)*K14*L14*26.071428)+SUM(AB14:AE14)+SUM(AL14:AN14))*(1+AQ14+AR14)+AO14,IF(Y14&lt;AND(X14,Z14),((((W14*(N14-E14+1)+(Y14*(MIN(M14,P14)-N14))+(MIN(X14,Z14)*(MAX(M14,P14)-MIN(M14,P14)))+(MAX(X14,Z14)*(E14+365-MAX(M14,P14)-1)))/365)*(1+I14+J14)*K14*L14*26.071428)+SUM(AB14:AE14)+SUM(AL14:AN14))*(1+AQ14+AR14)+AO14,(((((W14*(P14-E14+1)+(Z14*(MIN(M14,N14)-P14))+(MIN(X14,Y14)*(MAX(M14,N14)-MIN(M14,N14)))+(MAX(X14,Y14)*(E14+365-MAX(M14,N14)-1)))/365)*(1+I14+J14)*K14*L14*26.071428)+SUM(AB14:AE14)+SUM(AL14:AN14))*(1+AQ14+AR14)+AO14))))),0)</f>
        <v>0</v>
      </c>
      <c r="AV14" s="335" t="e">
        <f>AV$10/SUM($AT$14:$AT$36)*AV$10</f>
        <v>#DIV/0!</v>
      </c>
      <c r="AW14" s="336" t="e">
        <f t="shared" ref="AW14:AZ23" si="2">AW$10/SUM($AT$14:$AT$36)*AW$10</f>
        <v>#DIV/0!</v>
      </c>
      <c r="AX14" s="336" t="e">
        <f t="shared" si="2"/>
        <v>#DIV/0!</v>
      </c>
      <c r="AY14" s="336" t="e">
        <f t="shared" si="2"/>
        <v>#DIV/0!</v>
      </c>
      <c r="AZ14" s="303" t="e">
        <f t="shared" si="2"/>
        <v>#DIV/0!</v>
      </c>
      <c r="BA14" s="341" t="e">
        <f>SUM(AT14:AZ14)</f>
        <v>#DIV/0!</v>
      </c>
      <c r="BC14" s="586"/>
      <c r="BD14" s="59"/>
      <c r="BE14" s="351">
        <f>IF(BC14=0,0,BA14/BC14)</f>
        <v>0</v>
      </c>
      <c r="BF14" s="128"/>
      <c r="BG14" s="344">
        <f>'8. PROGRAM PRICING'!$D$22</f>
        <v>0</v>
      </c>
      <c r="BH14" s="345">
        <f>'8. PROGRAM PRICING'!$D$23</f>
        <v>0</v>
      </c>
      <c r="BI14" s="130"/>
      <c r="BJ14" s="351">
        <f>BE14*(1+BG14+BH14)</f>
        <v>0</v>
      </c>
      <c r="BK14" s="426"/>
    </row>
    <row r="15" spans="1:66" s="9" customFormat="1">
      <c r="B15" s="14">
        <v>2</v>
      </c>
      <c r="C15" s="583" t="s">
        <v>73</v>
      </c>
      <c r="D15" s="896"/>
      <c r="E15" s="699">
        <f t="shared" ref="E15:E23" si="3">E14</f>
        <v>0</v>
      </c>
      <c r="F15" s="626"/>
      <c r="G15" s="652"/>
      <c r="H15" s="702"/>
      <c r="I15" s="693"/>
      <c r="J15" s="694"/>
      <c r="K15" s="1087"/>
      <c r="L15" s="689"/>
      <c r="M15" s="629"/>
      <c r="N15" s="629"/>
      <c r="O15" s="638">
        <f>O14</f>
        <v>0.03</v>
      </c>
      <c r="P15" s="629"/>
      <c r="Q15" s="673" t="str">
        <f t="shared" si="0"/>
        <v>-</v>
      </c>
      <c r="R15" s="649"/>
      <c r="S15" s="647"/>
      <c r="T15" s="827"/>
      <c r="U15" s="670"/>
      <c r="V15" s="798">
        <f>S15*(1+T15)</f>
        <v>0</v>
      </c>
      <c r="W15" s="656">
        <f>IF(OR(F15=0,G15=0),0,IF(F15='2. AWARDS'!G$7,VLOOKUP(G15,'2. AWARDS'!$C$9:$F$35,4,FALSE),IF(F15='2. AWARDS'!H$7,VLOOKUP(G15,'2. AWARDS'!$C$9:$G$35,5,FALSE),IF(F15='2. AWARDS'!I$7,VLOOKUP(G15,'2. AWARDS'!$C$9:$H$35,6,FALSE),IF(F15='2. AWARDS'!J$7,VLOOKUP(G15,'2. AWARDS'!$C$9:$I$35,7,FALSE),VLOOKUP(G15,'2. AWARDS'!$C$9:$J$35,8,FALSE))))))</f>
        <v>0</v>
      </c>
      <c r="X15" s="657">
        <f>IF(OR(F15=0,G15=0),0,IF(AND(M15=0,F15='2. AWARDS'!F$7,VLOOKUP(G15,'2. AWARDS'!$C$9:$O$35,9,FALSE)&lt;&gt;0),"date missing",IF(AND(M15=0,F15='2. AWARDS'!G$7,VLOOKUP(G15,'2. AWARDS'!$C$9:$O$35,10,FALSE)&lt;&gt;0),"date missing",IF(AND(M15=0,F15='2. AWARDS'!H$7,VLOOKUP(G15,'2. AWARDS'!$C$9:$O$35,11,FALSE)&lt;&gt;0),"date missing",IF(AND(M15=0,F15='2. AWARDS'!I$7,VLOOKUP(G15,'2. AWARDS'!$C$9:$O$35,12,FALSE)&lt;&gt;0),"date missing",IF(AND(M15=0,F15='2. AWARDS'!J$7,VLOOKUP(G15,'2. AWARDS'!$C$9:$O$35,13,FALSE)&lt;&gt;0),"date missing",IF(M15=0,0,IF(OR(M15=MIN(N15,P15),AND(M15&lt;N15,M15&lt;P15,M15&gt;0)),IF(F15='2. AWARDS'!G$7,VLOOKUP(G15,'2. AWARDS'!$C$9:$O$35,9,FALSE),IF(F15='2. AWARDS'!H$7,VLOOKUP(G15,'2. AWARDS'!$C$9:$O$35,10,FALSE),IF(F15='2. AWARDS'!I$7,VLOOKUP(G15,'2. AWARDS'!$C$9:$O$35,11,FALSE),IF(F15='2. AWARDS'!J$7,VLOOKUP(G15,'2. AWARDS'!$C$9:$O$35,12,FALSE),IF(F15='2. AWARDS'!J$7,VLOOKUP(G15,'2. AWARDS'!$C$9:$O$35,13,FALSE)))))),IF(AND(M15&gt;N15,M15&lt;P15),IF(F15='2. AWARDS'!F$7,(1+O15)*VLOOKUP(G15,'2. AWARDS'!$C$9:$O$35,9,FALSE),IF(F15='2. AWARDS'!G$7,(1+O15)*VLOOKUP(G15,'2. AWARDS'!$C$9:$O$35,10,FALSE),IF(F15='2. AWARDS'!H$7,(1+O15)*VLOOKUP(G15,'2. AWARDS'!$C$9:$O$35,11,FALSE),IF(F15='2. AWARDS'!I$7,(1+O15)*VLOOKUP(G15,'2. AWARDS'!$C$9:$O$35,12,FALSE),IF(F15='2. AWARDS'!J$7,(1+O15)*VLOOKUP(G15,'2. AWARDS'!$C$9:$O$35,13,FALSE)))))),IF(AND(M15&lt;N15,M15&gt;P15),IF(F15='2. AWARDS'!F$7,(1+(Q15/9))*VLOOKUP(G15,'2. AWARDS'!$C$9:$O$35,9,FALSE),IF(F15='2. AWARDS'!G$7,(1+(Q15/9))*VLOOKUP(G15,'2. AWARDS'!$C$9:$O$35,10,FALSE),IF(F15='2. AWARDS'!H$7,(1+(Q15/9))*VLOOKUP(G15,'2. AWARDS'!$C$9:$O$35,11,FALSE),IF(F15='2. AWARDS'!I$7,(1+(Q15/9))*VLOOKUP(G15,'2. AWARDS'!$C$9:$O$35,12,FALSE),IF(F15='2. AWARDS'!J$7,(1+(Q15/9))*VLOOKUP(G15,'2. AWARDS'!$C$9:$O$35,13,FALSE)))))),IF(OR(M15=MAX(N15,P15),AND(M15&gt;N15,M15&gt;P15)),IF(F15='2. AWARDS'!F$7,((1+(Q15/9))*(1+O15))*VLOOKUP(G15,'2. AWARDS'!$C$9:$O$35,9,FALSE),IF(F15='2. AWARDS'!G$7,((1+(Q15/9))*(1+O15))*VLOOKUP(G15,'2. AWARDS'!$C$9:$O$35,10,FALSE),IF(F15='2. AWARDS'!H$7,((1+(Q15/9))*(1+O15))*VLOOKUP(G15,'2. AWARDS'!$C$9:$O$35,11,FALSE),IF(F15='2. AWARDS'!I$7,((1+(Q15/9))*(1+O15))*VLOOKUP(G15,'2. AWARDS'!$C$9:$O$35,12,FALSE),IF(F15='2. AWARDS'!J$7,((1+(Q15/9))*(1+O15))*VLOOKUP(G15,'2. AWARDS'!$C$9:$O$35,13,FALSE)))))),"?")))))))))))</f>
        <v>0</v>
      </c>
      <c r="Y15" s="656" t="e">
        <f>IF(AND(F15='2. AWARDS'!G8,N15&gt;M15,N15&gt;P15,VLOOKUP(G15,'2. AWARDS'!$C$9:$O$35,9,FALSE)&lt;&gt;0),VLOOKUP(G15,'2. AWARDS'!$C$9:$O$35,9,FALSE)*(1+O15)*(1+(Q15/9)),IF(AND(F15='2. AWARDS'!G8,N15&gt;M15,N15&gt;P15,VLOOKUP(G15,'2. AWARDS'!$C$9:$O$35,9,FALSE)=0),W15*(1+O15)*(1+(Q15/9)),IF(AND(F15='2. AWARDS'!H8,N15&gt;M15,N15&gt;P15,VLOOKUP(G15,'2. AWARDS'!$C$9:$O$35,10,FALSE)&lt;&gt;0),VLOOKUP(G15,'2. AWARDS'!$C$9:$O$35,10,FALSE)*(1+O15)*(1+(Q15/9)),IF(AND(F15='2. AWARDS'!H8,N15&gt;M15,N15&gt;P15,VLOOKUP(G15,'2. AWARDS'!$C$9:$O$35,10,FALSE)=0),W15*(1+O15)*(1+(Q15/9)),IF(AND(F15='2. AWARDS'!I8,N15&gt;M15,N15&gt;P15,VLOOKUP(G15,'2. AWARDS'!$C$9:$O$35,11,FALSE)&lt;&gt;0),VLOOKUP(G15,'2. AWARDS'!$C$9:$O$35,11,FALSE)*(1+O15)*(1+(Q15/9)),IF(AND(F15='2. AWARDS'!I8,N15&gt;M15,N15&gt;P15,VLOOKUP(G15,'2. AWARDS'!$C$9:$O$35,11,FALSE)=0),W15*(1+O15)*(1+(Q15/9)),IF(AND(F15='2. AWARDS'!J8,N15&gt;M15,N15&gt;P15,VLOOKUP(G15,'2. AWARDS'!$C$9:$O$35,12,FALSE)&lt;&gt;0),VLOOKUP(G15,'2. AWARDS'!$C$9:$O$35,12,FALSE)*(1+O15)*(1+(Q15/9)),IF(AND(F15='2. AWARDS'!J8,N15&gt;M15,N15&gt;P15,VLOOKUP(G15,'2. AWARDS'!$C$9:$O$35,12,FALSE)=0),W15*(1+O15)*(1+(Q15/9)),IF(AND(F15='2. AWARDS'!K8,N15&gt;M15,N15&gt;P15,VLOOKUP(G15,'2. AWARDS'!$C$9:$O$35,13,FALSE)&lt;&gt;0),VLOOKUP(G15,'2. AWARDS'!$C$9:$O$35,13,FALSE)*(1+O15)*(1+(Q15/9)),IF(AND(F15='2. AWARDS'!K8,N15&gt;M15,N15&gt;P15,VLOOKUP(G15,'2. AWARDS'!$C$9:$O$35,13,FALSE)=0),W15*(1+O15)*(1+(Q15/9)),IF(AND(N15&lt;M15,N15&gt;P15),W15*(1+O15)*(1+(Q15/9)),IF(AND(F15='2. AWARDS'!G8,N15=MAX(M15,P15),VLOOKUP(G15,'2. AWARDS'!$C$9:$O$35,9,FALSE)&lt;&gt;0),VLOOKUP(G15,'2. AWARDS'!$C$9:$O$35,9,FALSE)*(1+O15)*(1+(Q15/9)),IF(AND(F15='2. AWARDS'!G8,N15=MAX(M15,P15),VLOOKUP(G15,'2. AWARDS'!$C$9:$O$35,9,FALSE)=0),W15*(1+O15)*(1+(Q15/9)),IF(AND(F15='2. AWARDS'!H8,N15=MAX(M15,P15),VLOOKUP(G15,'2. AWARDS'!$C$9:$O$35,10,FALSE)&lt;&gt;0),VLOOKUP(G15,'2. AWARDS'!$C$9:$O$35,10,FALSE)*(1+O15)*(1+(Q15/9)),IF(AND(F15='2. AWARDS'!H8,N15=MAX(M15,P15),VLOOKUP(G15,'2. AWARDS'!$C$9:$O$35,10,FALSE)=0),W15*(1+O15)*(1+(Q15/9)),IF(AND(F15='2. AWARDS'!I8,N15=MAX(M15,P15),VLOOKUP(G15,'2. AWARDS'!$C$9:$O$35,11,FALSE)&lt;&gt;0),VLOOKUP(G15,'2. AWARDS'!$C$9:$O$35,11,FALSE)*(1+O15)*(1+(Q15/9)),IF(AND(F15='2. AWARDS'!I8,N15=MAX(M15,P15),VLOOKUP(G15,'2. AWARDS'!$C$9:$O$35,11,FALSE)=0),W15*(1+O15)*(1+(Q15/9)),IF(AND(F15='2. AWARDS'!J8,N15=MAX(M15,P15),VLOOKUP(G15,'2. AWARDS'!$C$9:$O$35,12,FALSE)&lt;&gt;0),VLOOKUP(G15,'2. AWARDS'!$C$9:$O$35,12,FALSE)*(1+O15)*(1+(Q15/9)),IF(AND(F15='2. AWARDS'!J8,N15=MAX(M15,P15),VLOOKUP(G15,'2. AWARDS'!$C$9:$O$35,12,FALSE)=0),W15*(1+O15)*(1+(Q15/9)),IF(AND(F15='2. AWARDS'!K8,N15=MAX(M15,P15),VLOOKUP(G15,'2. AWARDS'!$C$9:$O$35,13,FALSE)&lt;&gt;0),VLOOKUP(G15,'2. AWARDS'!$C$9:$O$35,13,FALSE)*(1+O15)*(1+(Q15/9)),IF(AND(F15='2. AWARDS'!K8,N15=MAX(M15,P15),VLOOKUP(G15,'2. AWARDS'!$C$9:$O$35,13,FALSE)=0),W15*(1+O15)*(1+(Q15/9)),IF(AND(N15&lt;M15,N15&lt;P15),W15*(1+O15),IF(AND(N15=M15,M15&lt;P15,F15='2. AWARDS'!G8),VLOOKUP(G15,'2. AWARDS'!$C$9:$O$35,9,FALSE)*(1+O15),IF(AND(N15=M15,M15&lt;P15,F15='2. AWARDS'!H8),VLOOKUP(G15,'2. AWARDS'!$C$9:$O$35,10,FALSE)*(1+O15),IF(AND(N15=M15,M15&lt;P15,F15='2. AWARDS'!I8),VLOOKUP(G15,'2. AWARDS'!$C$9:$O$35,11,FALSE)*(1+O15),IF(AND(N15=M15,M15&lt;P15,F15='2. AWARDS'!J8),VLOOKUP(G15,'2. AWARDS'!$C$9:$O$35,12,FALSE)*(1+O15),IF(AND(N15=M15,M15&lt;P15,F15='2. AWARDS'!K8),VLOOKUP(G15,'2. AWARDS'!$C$9:$O$35,13,FALSE)*(1+O15),IF(AND(N15=P15,M15&gt;P15),W15*(1+O15)*(1+(Q15/9)),IF(AND(F15='2. AWARDS'!G8,N15&gt;M15,N15&lt;P15,VLOOKUP(G15,'2. AWARDS'!$C$9:$O$35,9,FALSE)&lt;&gt;0),VLOOKUP(G15,'2. AWARDS'!$C$9:$O$35,9,FALSE)*(1+O15),IF(AND(F15='2. AWARDS'!H8,N15&gt;M15,N15&lt;P15,VLOOKUP(G15,'2. AWARDS'!$C$9:$O$35,10,FALSE)&lt;&gt;0),VLOOKUP(G15,'2. AWARDS'!$C$9:$O$35,10,FALSE)*(1+O15),IF(AND(F15='2. AWARDS'!I8,N15&gt;M15,N15&lt;P15,VLOOKUP(G15,'2. AWARDS'!$C$9:$O$35,11,FALSE)&lt;&gt;0),VLOOKUP(G15,'2. AWARDS'!$C$9:$O$35,11,FALSE)*(1+O15),IF(AND(F15='2. AWARDS'!J8,N15&gt;M15,N15&lt;P15,VLOOKUP(G15,'2. AWARDS'!$C$9:$O$35,12,FALSE)&lt;&gt;0),VLOOKUP(G15,'2. AWARDS'!$C$9:$O$35,12,FALSE)*(1+O15),IF(AND(F15='2. AWARDS'!K8,N15&gt;M15,N15&lt;P15,VLOOKUP(G15,'2. AWARDS'!$C$9:$O$35,13,FALSE)&lt;&gt;0),VLOOKUP(G15,'2. AWARDS'!$C$9:$O$35,13,FALSE)*(1+O15),W15*(1+O15))))))))))))))))))))))))))))))))))</f>
        <v>#N/A</v>
      </c>
      <c r="Z15" s="661" t="e">
        <f t="shared" ref="Z15:Z23" si="4">IF(OR(P15=MAX(M15,N15),AND(P15&gt;N15,P15&gt;M15)),(MAX(X15,Y15)*(Q15/9))+MAX(X15:Y15),IF(OR(P15=MIN(M15,N15),AND(P15&lt;M15,P15&lt;N15)),W15*(1+(Q15/9)),IF(AND(P15&lt;N15,P15&gt;M15,X15&gt;0),X15*(1+(Q15/9)),IF(AND(P15&lt;N15,P15&gt;M15,X15=0),W15*(1+(Q15/9)),W15*(1+O15)*(1+(Q15/9))))))</f>
        <v>#N/A</v>
      </c>
      <c r="AA15" s="683"/>
      <c r="AB15" s="774"/>
      <c r="AC15" s="777"/>
      <c r="AD15" s="781" t="e">
        <f>HLOOKUP(F15,'2. AWARDS'!$F$7:$J$40,32,FALSE)/5*HLOOKUP(F15,'2. AWARDS'!$F$7:$J$40,31,FALSE)*MAX(V15:Z15)*L15*HLOOKUP(F15,'2. AWARDS'!$F$7:$J$40,34,FALSE)</f>
        <v>#N/A</v>
      </c>
      <c r="AE15" s="783" t="e">
        <f>((HLOOKUP(F15,'2. AWARDS'!$F$7:$J$42,36,FALSE)/HLOOKUP(F15,'2. AWARDS'!$F$7:$J$42,35,FALSE)*HLOOKUP(F15,'2. AWARDS'!$F$7:$J$45,39,FALSE))/(HLOOKUP(F15,'2. AWARDS'!$F$7:$J$45,31,FALSE)*2)*K15*L15*HLOOKUP(F15,'2. AWARDS'!$F$7:$J$45,31,FALSE)*MAX(V15:Z15))</f>
        <v>#N/A</v>
      </c>
      <c r="AF15" s="474"/>
      <c r="AG15" s="804"/>
      <c r="AH15" s="801"/>
      <c r="AI15" s="801"/>
      <c r="AJ15" s="802"/>
      <c r="AK15" s="805"/>
      <c r="AL15" s="836">
        <f>IF(AG15="YES",HLOOKUP(F15,'2. AWARDS'!$F$7:$J$38,32,FALSE)/5*HLOOKUP(F15,'2. AWARDS'!$F$7:$J$37,31,FALSE)*K15/(HLOOKUP(F15,'2. AWARDS'!$F$7:$J$37,31,FALSE)*2)*L15*MAX(V15:Z15)*(1+HLOOKUP(F15,'2. AWARDS'!$F$7:$J$43,37,FALSE))*(1-AJ15),0)</f>
        <v>0</v>
      </c>
      <c r="AM15" s="836">
        <f>IF(AH15="YES",HLOOKUP(F15,'2. AWARDS'!$F$7:$J$39,33,FALSE)/5*HLOOKUP(F15,'2. AWARDS'!$F$7:$J$37,31,FALSE)*K15/(HLOOKUP(F15,'2. AWARDS'!$F$7:$J$37,31,FALSE)*2)*L15*MAX(V15:Z15)*(1+HLOOKUP(F15,'2. AWARDS'!$F$7:$J$43,37,FALSE))*(1-AJ15),0)</f>
        <v>0</v>
      </c>
      <c r="AN15" s="838">
        <f>IF(AI15="YES",HLOOKUP(F15,'2. AWARDS'!$F$7:$J$47,40,FALSE)/5*HLOOKUP(F15,'2. AWARDS'!$F$7:$J$37,31,FALSE)*K15/(HLOOKUP(F15,'2. AWARDS'!$F$7:$J$37,31,FALSE)*2)*L15*MAX(V15:Z15)*(1+HLOOKUP(F15,'2. AWARDS'!$F$7:$J$43,37,FALSE))*(1-AJ15),0)</f>
        <v>0</v>
      </c>
      <c r="AO15" s="839" t="e">
        <f>(IF(AG15="YES",HLOOKUP(F15,'2. AWARDS'!$F$7:$J$39,32,FALSE),0)+IF(AH15="YES",HLOOKUP(F15,'2. AWARDS'!$F$7:$J$39,33,FALSE),0)+IF(AI15="YES",HLOOKUP(F15,'2. AWARDS'!$F$7:$J$47,40,FALSE),0))/5*(HLOOKUP(F15,'2. AWARDS'!$F$7:$J$39,31,FALSE)*2)*AJ15*AK15</f>
        <v>#N/A</v>
      </c>
      <c r="AP15" s="683"/>
      <c r="AQ15" s="802">
        <f>'1. KEY DATA'!J$29</f>
        <v>0</v>
      </c>
      <c r="AR15" s="822">
        <f>'1. KEY DATA'!J$30</f>
        <v>0.09</v>
      </c>
      <c r="AS15" s="502"/>
      <c r="AT15" s="478">
        <f t="shared" si="1"/>
        <v>0</v>
      </c>
      <c r="AV15" s="337" t="e">
        <f t="shared" ref="AV15:AV23" si="5">AV$10/SUM($AT$14:$AT$36)*AV$10</f>
        <v>#DIV/0!</v>
      </c>
      <c r="AW15" s="334" t="e">
        <f t="shared" si="2"/>
        <v>#DIV/0!</v>
      </c>
      <c r="AX15" s="334" t="e">
        <f t="shared" si="2"/>
        <v>#DIV/0!</v>
      </c>
      <c r="AY15" s="334" t="e">
        <f t="shared" si="2"/>
        <v>#DIV/0!</v>
      </c>
      <c r="AZ15" s="338" t="e">
        <f t="shared" si="2"/>
        <v>#DIV/0!</v>
      </c>
      <c r="BA15" s="342" t="e">
        <f t="shared" ref="BA15:BA23" si="6">SUM(AU15:AZ15)</f>
        <v>#DIV/0!</v>
      </c>
      <c r="BC15" s="587"/>
      <c r="BD15" s="59"/>
      <c r="BE15" s="352">
        <f t="shared" ref="BE15:BE23" si="7">IF(BC15=0,0,BA15/BC15)</f>
        <v>0</v>
      </c>
      <c r="BF15" s="128"/>
      <c r="BG15" s="346">
        <f>'8. PROGRAM PRICING'!$D$22</f>
        <v>0</v>
      </c>
      <c r="BH15" s="347">
        <f>'8. PROGRAM PRICING'!$D$23</f>
        <v>0</v>
      </c>
      <c r="BI15" s="130"/>
      <c r="BJ15" s="352">
        <f t="shared" ref="BJ15:BJ23" si="8">BE15*(1+BG15+BH15)</f>
        <v>0</v>
      </c>
      <c r="BK15" s="426"/>
    </row>
    <row r="16" spans="1:66" s="9" customFormat="1">
      <c r="B16" s="14">
        <v>3</v>
      </c>
      <c r="C16" s="583" t="s">
        <v>84</v>
      </c>
      <c r="D16" s="896"/>
      <c r="E16" s="699">
        <f t="shared" si="3"/>
        <v>0</v>
      </c>
      <c r="F16" s="626"/>
      <c r="G16" s="652"/>
      <c r="H16" s="702"/>
      <c r="I16" s="693"/>
      <c r="J16" s="694"/>
      <c r="K16" s="1087"/>
      <c r="L16" s="689"/>
      <c r="M16" s="629"/>
      <c r="N16" s="629"/>
      <c r="O16" s="638">
        <f t="shared" ref="O16:O23" si="9">O15</f>
        <v>0.03</v>
      </c>
      <c r="P16" s="629"/>
      <c r="Q16" s="673" t="str">
        <f t="shared" si="0"/>
        <v>-</v>
      </c>
      <c r="R16" s="649"/>
      <c r="S16" s="647"/>
      <c r="T16" s="827"/>
      <c r="U16" s="670"/>
      <c r="V16" s="798">
        <f t="shared" ref="V16:V23" si="10">S16*(1+T16)</f>
        <v>0</v>
      </c>
      <c r="W16" s="656">
        <f>IF(OR(F16=0,G16=0),0,IF(F16='2. AWARDS'!G$7,VLOOKUP(G16,'2. AWARDS'!$C$9:$F$35,4,FALSE),IF(F16='2. AWARDS'!H$7,VLOOKUP(G16,'2. AWARDS'!$C$9:$G$35,5,FALSE),IF(F16='2. AWARDS'!I$7,VLOOKUP(G16,'2. AWARDS'!$C$9:$H$35,6,FALSE),IF(F16='2. AWARDS'!J$7,VLOOKUP(G16,'2. AWARDS'!$C$9:$I$35,7,FALSE),VLOOKUP(G16,'2. AWARDS'!$C$9:$J$35,8,FALSE))))))</f>
        <v>0</v>
      </c>
      <c r="X16" s="657">
        <f>IF(OR(F16=0,G16=0),0,IF(AND(M16=0,F16='2. AWARDS'!F$7,VLOOKUP(G16,'2. AWARDS'!$C$9:$O$35,9,FALSE)&lt;&gt;0),"date missing",IF(AND(M16=0,F16='2. AWARDS'!G$7,VLOOKUP(G16,'2. AWARDS'!$C$9:$O$35,10,FALSE)&lt;&gt;0),"date missing",IF(AND(M16=0,F16='2. AWARDS'!H$7,VLOOKUP(G16,'2. AWARDS'!$C$9:$O$35,11,FALSE)&lt;&gt;0),"date missing",IF(AND(M16=0,F16='2. AWARDS'!I$7,VLOOKUP(G16,'2. AWARDS'!$C$9:$O$35,12,FALSE)&lt;&gt;0),"date missing",IF(AND(M16=0,F16='2. AWARDS'!J$7,VLOOKUP(G16,'2. AWARDS'!$C$9:$O$35,13,FALSE)&lt;&gt;0),"date missing",IF(M16=0,0,IF(OR(M16=MIN(N16,P16),AND(M16&lt;N16,M16&lt;P16,M16&gt;0)),IF(F16='2. AWARDS'!G$7,VLOOKUP(G16,'2. AWARDS'!$C$9:$O$35,9,FALSE),IF(F16='2. AWARDS'!H$7,VLOOKUP(G16,'2. AWARDS'!$C$9:$O$35,10,FALSE),IF(F16='2. AWARDS'!I$7,VLOOKUP(G16,'2. AWARDS'!$C$9:$O$35,11,FALSE),IF(F16='2. AWARDS'!J$7,VLOOKUP(G16,'2. AWARDS'!$C$9:$O$35,12,FALSE),IF(F16='2. AWARDS'!J$7,VLOOKUP(G16,'2. AWARDS'!$C$9:$O$35,13,FALSE)))))),IF(AND(M16&gt;N16,M16&lt;P16),IF(F16='2. AWARDS'!F$7,(1+O16)*VLOOKUP(G16,'2. AWARDS'!$C$9:$O$35,9,FALSE),IF(F16='2. AWARDS'!G$7,(1+O16)*VLOOKUP(G16,'2. AWARDS'!$C$9:$O$35,10,FALSE),IF(F16='2. AWARDS'!H$7,(1+O16)*VLOOKUP(G16,'2. AWARDS'!$C$9:$O$35,11,FALSE),IF(F16='2. AWARDS'!I$7,(1+O16)*VLOOKUP(G16,'2. AWARDS'!$C$9:$O$35,12,FALSE),IF(F16='2. AWARDS'!J$7,(1+O16)*VLOOKUP(G16,'2. AWARDS'!$C$9:$O$35,13,FALSE)))))),IF(AND(M16&lt;N16,M16&gt;P16),IF(F16='2. AWARDS'!F$7,(1+(Q16/9))*VLOOKUP(G16,'2. AWARDS'!$C$9:$O$35,9,FALSE),IF(F16='2. AWARDS'!G$7,(1+(Q16/9))*VLOOKUP(G16,'2. AWARDS'!$C$9:$O$35,10,FALSE),IF(F16='2. AWARDS'!H$7,(1+(Q16/9))*VLOOKUP(G16,'2. AWARDS'!$C$9:$O$35,11,FALSE),IF(F16='2. AWARDS'!I$7,(1+(Q16/9))*VLOOKUP(G16,'2. AWARDS'!$C$9:$O$35,12,FALSE),IF(F16='2. AWARDS'!J$7,(1+(Q16/9))*VLOOKUP(G16,'2. AWARDS'!$C$9:$O$35,13,FALSE)))))),IF(OR(M16=MAX(N16,P16),AND(M16&gt;N16,M16&gt;P16)),IF(F16='2. AWARDS'!F$7,((1+(Q16/9))*(1+O16))*VLOOKUP(G16,'2. AWARDS'!$C$9:$O$35,9,FALSE),IF(F16='2. AWARDS'!G$7,((1+(Q16/9))*(1+O16))*VLOOKUP(G16,'2. AWARDS'!$C$9:$O$35,10,FALSE),IF(F16='2. AWARDS'!H$7,((1+(Q16/9))*(1+O16))*VLOOKUP(G16,'2. AWARDS'!$C$9:$O$35,11,FALSE),IF(F16='2. AWARDS'!I$7,((1+(Q16/9))*(1+O16))*VLOOKUP(G16,'2. AWARDS'!$C$9:$O$35,12,FALSE),IF(F16='2. AWARDS'!J$7,((1+(Q16/9))*(1+O16))*VLOOKUP(G16,'2. AWARDS'!$C$9:$O$35,13,FALSE)))))),"?")))))))))))</f>
        <v>0</v>
      </c>
      <c r="Y16" s="656" t="e">
        <f>IF(AND(F16='2. AWARDS'!G9,N16&gt;M16,N16&gt;P16,VLOOKUP(G16,'2. AWARDS'!$C$9:$O$35,9,FALSE)&lt;&gt;0),VLOOKUP(G16,'2. AWARDS'!$C$9:$O$35,9,FALSE)*(1+O16)*(1+(Q16/9)),IF(AND(F16='2. AWARDS'!G9,N16&gt;M16,N16&gt;P16,VLOOKUP(G16,'2. AWARDS'!$C$9:$O$35,9,FALSE)=0),W16*(1+O16)*(1+(Q16/9)),IF(AND(F16='2. AWARDS'!H9,N16&gt;M16,N16&gt;P16,VLOOKUP(G16,'2. AWARDS'!$C$9:$O$35,10,FALSE)&lt;&gt;0),VLOOKUP(G16,'2. AWARDS'!$C$9:$O$35,10,FALSE)*(1+O16)*(1+(Q16/9)),IF(AND(F16='2. AWARDS'!H9,N16&gt;M16,N16&gt;P16,VLOOKUP(G16,'2. AWARDS'!$C$9:$O$35,10,FALSE)=0),W16*(1+O16)*(1+(Q16/9)),IF(AND(F16='2. AWARDS'!I9,N16&gt;M16,N16&gt;P16,VLOOKUP(G16,'2. AWARDS'!$C$9:$O$35,11,FALSE)&lt;&gt;0),VLOOKUP(G16,'2. AWARDS'!$C$9:$O$35,11,FALSE)*(1+O16)*(1+(Q16/9)),IF(AND(F16='2. AWARDS'!I9,N16&gt;M16,N16&gt;P16,VLOOKUP(G16,'2. AWARDS'!$C$9:$O$35,11,FALSE)=0),W16*(1+O16)*(1+(Q16/9)),IF(AND(F16='2. AWARDS'!J9,N16&gt;M16,N16&gt;P16,VLOOKUP(G16,'2. AWARDS'!$C$9:$O$35,12,FALSE)&lt;&gt;0),VLOOKUP(G16,'2. AWARDS'!$C$9:$O$35,12,FALSE)*(1+O16)*(1+(Q16/9)),IF(AND(F16='2. AWARDS'!J9,N16&gt;M16,N16&gt;P16,VLOOKUP(G16,'2. AWARDS'!$C$9:$O$35,12,FALSE)=0),W16*(1+O16)*(1+(Q16/9)),IF(AND(F16='2. AWARDS'!K9,N16&gt;M16,N16&gt;P16,VLOOKUP(G16,'2. AWARDS'!$C$9:$O$35,13,FALSE)&lt;&gt;0),VLOOKUP(G16,'2. AWARDS'!$C$9:$O$35,13,FALSE)*(1+O16)*(1+(Q16/9)),IF(AND(F16='2. AWARDS'!K9,N16&gt;M16,N16&gt;P16,VLOOKUP(G16,'2. AWARDS'!$C$9:$O$35,13,FALSE)=0),W16*(1+O16)*(1+(Q16/9)),IF(AND(N16&lt;M16,N16&gt;P16),W16*(1+O16)*(1+(Q16/9)),IF(AND(F16='2. AWARDS'!G9,N16=MAX(M16,P16),VLOOKUP(G16,'2. AWARDS'!$C$9:$O$35,9,FALSE)&lt;&gt;0),VLOOKUP(G16,'2. AWARDS'!$C$9:$O$35,9,FALSE)*(1+O16)*(1+(Q16/9)),IF(AND(F16='2. AWARDS'!G9,N16=MAX(M16,P16),VLOOKUP(G16,'2. AWARDS'!$C$9:$O$35,9,FALSE)=0),W16*(1+O16)*(1+(Q16/9)),IF(AND(F16='2. AWARDS'!H9,N16=MAX(M16,P16),VLOOKUP(G16,'2. AWARDS'!$C$9:$O$35,10,FALSE)&lt;&gt;0),VLOOKUP(G16,'2. AWARDS'!$C$9:$O$35,10,FALSE)*(1+O16)*(1+(Q16/9)),IF(AND(F16='2. AWARDS'!H9,N16=MAX(M16,P16),VLOOKUP(G16,'2. AWARDS'!$C$9:$O$35,10,FALSE)=0),W16*(1+O16)*(1+(Q16/9)),IF(AND(F16='2. AWARDS'!I9,N16=MAX(M16,P16),VLOOKUP(G16,'2. AWARDS'!$C$9:$O$35,11,FALSE)&lt;&gt;0),VLOOKUP(G16,'2. AWARDS'!$C$9:$O$35,11,FALSE)*(1+O16)*(1+(Q16/9)),IF(AND(F16='2. AWARDS'!I9,N16=MAX(M16,P16),VLOOKUP(G16,'2. AWARDS'!$C$9:$O$35,11,FALSE)=0),W16*(1+O16)*(1+(Q16/9)),IF(AND(F16='2. AWARDS'!J9,N16=MAX(M16,P16),VLOOKUP(G16,'2. AWARDS'!$C$9:$O$35,12,FALSE)&lt;&gt;0),VLOOKUP(G16,'2. AWARDS'!$C$9:$O$35,12,FALSE)*(1+O16)*(1+(Q16/9)),IF(AND(F16='2. AWARDS'!J9,N16=MAX(M16,P16),VLOOKUP(G16,'2. AWARDS'!$C$9:$O$35,12,FALSE)=0),W16*(1+O16)*(1+(Q16/9)),IF(AND(F16='2. AWARDS'!K9,N16=MAX(M16,P16),VLOOKUP(G16,'2. AWARDS'!$C$9:$O$35,13,FALSE)&lt;&gt;0),VLOOKUP(G16,'2. AWARDS'!$C$9:$O$35,13,FALSE)*(1+O16)*(1+(Q16/9)),IF(AND(F16='2. AWARDS'!K9,N16=MAX(M16,P16),VLOOKUP(G16,'2. AWARDS'!$C$9:$O$35,13,FALSE)=0),W16*(1+O16)*(1+(Q16/9)),IF(AND(N16&lt;M16,N16&lt;P16),W16*(1+O16),IF(AND(N16=M16,M16&lt;P16,F16='2. AWARDS'!G9),VLOOKUP(G16,'2. AWARDS'!$C$9:$O$35,9,FALSE)*(1+O16),IF(AND(N16=M16,M16&lt;P16,F16='2. AWARDS'!H9),VLOOKUP(G16,'2. AWARDS'!$C$9:$O$35,10,FALSE)*(1+O16),IF(AND(N16=M16,M16&lt;P16,F16='2. AWARDS'!I9),VLOOKUP(G16,'2. AWARDS'!$C$9:$O$35,11,FALSE)*(1+O16),IF(AND(N16=M16,M16&lt;P16,F16='2. AWARDS'!J9),VLOOKUP(G16,'2. AWARDS'!$C$9:$O$35,12,FALSE)*(1+O16),IF(AND(N16=M16,M16&lt;P16,F16='2. AWARDS'!K9),VLOOKUP(G16,'2. AWARDS'!$C$9:$O$35,13,FALSE)*(1+O16),IF(AND(N16=P16,M16&gt;P16),W16*(1+O16)*(1+(Q16/9)),IF(AND(F16='2. AWARDS'!G9,N16&gt;M16,N16&lt;P16,VLOOKUP(G16,'2. AWARDS'!$C$9:$O$35,9,FALSE)&lt;&gt;0),VLOOKUP(G16,'2. AWARDS'!$C$9:$O$35,9,FALSE)*(1+O16),IF(AND(F16='2. AWARDS'!H9,N16&gt;M16,N16&lt;P16,VLOOKUP(G16,'2. AWARDS'!$C$9:$O$35,10,FALSE)&lt;&gt;0),VLOOKUP(G16,'2. AWARDS'!$C$9:$O$35,10,FALSE)*(1+O16),IF(AND(F16='2. AWARDS'!I9,N16&gt;M16,N16&lt;P16,VLOOKUP(G16,'2. AWARDS'!$C$9:$O$35,11,FALSE)&lt;&gt;0),VLOOKUP(G16,'2. AWARDS'!$C$9:$O$35,11,FALSE)*(1+O16),IF(AND(F16='2. AWARDS'!J9,N16&gt;M16,N16&lt;P16,VLOOKUP(G16,'2. AWARDS'!$C$9:$O$35,12,FALSE)&lt;&gt;0),VLOOKUP(G16,'2. AWARDS'!$C$9:$O$35,12,FALSE)*(1+O16),IF(AND(F16='2. AWARDS'!K9,N16&gt;M16,N16&lt;P16,VLOOKUP(G16,'2. AWARDS'!$C$9:$O$35,13,FALSE)&lt;&gt;0),VLOOKUP(G16,'2. AWARDS'!$C$9:$O$35,13,FALSE)*(1+O16),W16*(1+O16))))))))))))))))))))))))))))))))))</f>
        <v>#N/A</v>
      </c>
      <c r="Z16" s="661" t="e">
        <f t="shared" si="4"/>
        <v>#N/A</v>
      </c>
      <c r="AA16" s="683"/>
      <c r="AB16" s="774"/>
      <c r="AC16" s="777"/>
      <c r="AD16" s="781" t="e">
        <f>HLOOKUP(F16,'2. AWARDS'!$F$7:$J$40,32,FALSE)/5*HLOOKUP(F16,'2. AWARDS'!$F$7:$J$40,31,FALSE)*MAX(V16:Z16)*L16*HLOOKUP(F16,'2. AWARDS'!$F$7:$J$40,34,FALSE)</f>
        <v>#N/A</v>
      </c>
      <c r="AE16" s="783" t="e">
        <f>((HLOOKUP(F16,'2. AWARDS'!$F$7:$J$42,36,FALSE)/HLOOKUP(F16,'2. AWARDS'!$F$7:$J$42,35,FALSE)*HLOOKUP(F16,'2. AWARDS'!$F$7:$J$45,39,FALSE))/(HLOOKUP(F16,'2. AWARDS'!$F$7:$J$45,31,FALSE)*2)*K16*L16*HLOOKUP(F16,'2. AWARDS'!$F$7:$J$45,31,FALSE)*MAX(V16:Z16))</f>
        <v>#N/A</v>
      </c>
      <c r="AF16" s="474"/>
      <c r="AG16" s="804"/>
      <c r="AH16" s="801"/>
      <c r="AI16" s="801"/>
      <c r="AJ16" s="802"/>
      <c r="AK16" s="805"/>
      <c r="AL16" s="836">
        <f>IF(AG16="YES",HLOOKUP(F16,'2. AWARDS'!$F$7:$J$38,32,FALSE)/5*HLOOKUP(F16,'2. AWARDS'!$F$7:$J$37,31,FALSE)*K16/(HLOOKUP(F16,'2. AWARDS'!$F$7:$J$37,31,FALSE)*2)*L16*MAX(V16:Z16)*(1+HLOOKUP(F16,'2. AWARDS'!$F$7:$J$43,37,FALSE))*(1-AJ16),0)</f>
        <v>0</v>
      </c>
      <c r="AM16" s="836">
        <f>IF(AH16="YES",HLOOKUP(F16,'2. AWARDS'!$F$7:$J$39,33,FALSE)/5*HLOOKUP(F16,'2. AWARDS'!$F$7:$J$37,31,FALSE)*K16/(HLOOKUP(F16,'2. AWARDS'!$F$7:$J$37,31,FALSE)*2)*L16*MAX(V16:Z16)*(1+HLOOKUP(F16,'2. AWARDS'!$F$7:$J$43,37,FALSE))*(1-AJ16),0)</f>
        <v>0</v>
      </c>
      <c r="AN16" s="838">
        <f>IF(AI16="YES",HLOOKUP(F16,'2. AWARDS'!$F$7:$J$47,40,FALSE)/5*HLOOKUP(F16,'2. AWARDS'!$F$7:$J$37,31,FALSE)*K16/(HLOOKUP(F16,'2. AWARDS'!$F$7:$J$37,31,FALSE)*2)*L16*MAX(V16:Z16)*(1+HLOOKUP(F16,'2. AWARDS'!$F$7:$J$43,37,FALSE))*(1-AJ16),0)</f>
        <v>0</v>
      </c>
      <c r="AO16" s="839" t="e">
        <f>(IF(AG16="YES",HLOOKUP(F16,'2. AWARDS'!$F$7:$J$39,32,FALSE),0)+IF(AH16="YES",HLOOKUP(F16,'2. AWARDS'!$F$7:$J$39,33,FALSE),0)+IF(AI16="YES",HLOOKUP(F16,'2. AWARDS'!$F$7:$J$47,40,FALSE),0))/5*(HLOOKUP(F16,'2. AWARDS'!$F$7:$J$39,31,FALSE)*2)*AJ16*AK16</f>
        <v>#N/A</v>
      </c>
      <c r="AP16" s="683"/>
      <c r="AQ16" s="802">
        <f>'1. KEY DATA'!J$29</f>
        <v>0</v>
      </c>
      <c r="AR16" s="822">
        <f>'1. KEY DATA'!J$30</f>
        <v>0.09</v>
      </c>
      <c r="AS16" s="502"/>
      <c r="AT16" s="478">
        <f t="shared" si="1"/>
        <v>0</v>
      </c>
      <c r="AV16" s="337" t="e">
        <f t="shared" si="5"/>
        <v>#DIV/0!</v>
      </c>
      <c r="AW16" s="334" t="e">
        <f t="shared" si="2"/>
        <v>#DIV/0!</v>
      </c>
      <c r="AX16" s="334" t="e">
        <f t="shared" si="2"/>
        <v>#DIV/0!</v>
      </c>
      <c r="AY16" s="334" t="e">
        <f t="shared" si="2"/>
        <v>#DIV/0!</v>
      </c>
      <c r="AZ16" s="338" t="e">
        <f t="shared" si="2"/>
        <v>#DIV/0!</v>
      </c>
      <c r="BA16" s="342" t="e">
        <f t="shared" si="6"/>
        <v>#DIV/0!</v>
      </c>
      <c r="BC16" s="587"/>
      <c r="BD16" s="59"/>
      <c r="BE16" s="352">
        <f t="shared" si="7"/>
        <v>0</v>
      </c>
      <c r="BF16" s="128"/>
      <c r="BG16" s="346">
        <f>'8. PROGRAM PRICING'!$D$22</f>
        <v>0</v>
      </c>
      <c r="BH16" s="347">
        <f>'8. PROGRAM PRICING'!$D$23</f>
        <v>0</v>
      </c>
      <c r="BI16" s="130"/>
      <c r="BJ16" s="352">
        <f t="shared" si="8"/>
        <v>0</v>
      </c>
      <c r="BK16" s="426"/>
    </row>
    <row r="17" spans="2:66" s="9" customFormat="1">
      <c r="B17" s="14">
        <v>4</v>
      </c>
      <c r="C17" s="583" t="s">
        <v>84</v>
      </c>
      <c r="D17" s="896"/>
      <c r="E17" s="699">
        <f t="shared" si="3"/>
        <v>0</v>
      </c>
      <c r="F17" s="626"/>
      <c r="G17" s="652"/>
      <c r="H17" s="702"/>
      <c r="I17" s="693"/>
      <c r="J17" s="694"/>
      <c r="K17" s="1087"/>
      <c r="L17" s="689"/>
      <c r="M17" s="629"/>
      <c r="N17" s="629"/>
      <c r="O17" s="638">
        <f t="shared" si="9"/>
        <v>0.03</v>
      </c>
      <c r="P17" s="629"/>
      <c r="Q17" s="673" t="str">
        <f t="shared" si="0"/>
        <v>-</v>
      </c>
      <c r="R17" s="649"/>
      <c r="S17" s="647"/>
      <c r="T17" s="827"/>
      <c r="U17" s="670"/>
      <c r="V17" s="798">
        <f t="shared" si="10"/>
        <v>0</v>
      </c>
      <c r="W17" s="656">
        <f>IF(OR(F17=0,G17=0),0,IF(F17='2. AWARDS'!G$7,VLOOKUP(G17,'2. AWARDS'!$C$9:$F$35,4,FALSE),IF(F17='2. AWARDS'!H$7,VLOOKUP(G17,'2. AWARDS'!$C$9:$G$35,5,FALSE),IF(F17='2. AWARDS'!I$7,VLOOKUP(G17,'2. AWARDS'!$C$9:$H$35,6,FALSE),IF(F17='2. AWARDS'!J$7,VLOOKUP(G17,'2. AWARDS'!$C$9:$I$35,7,FALSE),VLOOKUP(G17,'2. AWARDS'!$C$9:$J$35,8,FALSE))))))</f>
        <v>0</v>
      </c>
      <c r="X17" s="657">
        <f>IF(OR(F17=0,G17=0),0,IF(AND(M17=0,F17='2. AWARDS'!F$7,VLOOKUP(G17,'2. AWARDS'!$C$9:$O$35,9,FALSE)&lt;&gt;0),"date missing",IF(AND(M17=0,F17='2. AWARDS'!G$7,VLOOKUP(G17,'2. AWARDS'!$C$9:$O$35,10,FALSE)&lt;&gt;0),"date missing",IF(AND(M17=0,F17='2. AWARDS'!H$7,VLOOKUP(G17,'2. AWARDS'!$C$9:$O$35,11,FALSE)&lt;&gt;0),"date missing",IF(AND(M17=0,F17='2. AWARDS'!I$7,VLOOKUP(G17,'2. AWARDS'!$C$9:$O$35,12,FALSE)&lt;&gt;0),"date missing",IF(AND(M17=0,F17='2. AWARDS'!J$7,VLOOKUP(G17,'2. AWARDS'!$C$9:$O$35,13,FALSE)&lt;&gt;0),"date missing",IF(M17=0,0,IF(OR(M17=MIN(N17,P17),AND(M17&lt;N17,M17&lt;P17,M17&gt;0)),IF(F17='2. AWARDS'!G$7,VLOOKUP(G17,'2. AWARDS'!$C$9:$O$35,9,FALSE),IF(F17='2. AWARDS'!H$7,VLOOKUP(G17,'2. AWARDS'!$C$9:$O$35,10,FALSE),IF(F17='2. AWARDS'!I$7,VLOOKUP(G17,'2. AWARDS'!$C$9:$O$35,11,FALSE),IF(F17='2. AWARDS'!J$7,VLOOKUP(G17,'2. AWARDS'!$C$9:$O$35,12,FALSE),IF(F17='2. AWARDS'!J$7,VLOOKUP(G17,'2. AWARDS'!$C$9:$O$35,13,FALSE)))))),IF(AND(M17&gt;N17,M17&lt;P17),IF(F17='2. AWARDS'!F$7,(1+O17)*VLOOKUP(G17,'2. AWARDS'!$C$9:$O$35,9,FALSE),IF(F17='2. AWARDS'!G$7,(1+O17)*VLOOKUP(G17,'2. AWARDS'!$C$9:$O$35,10,FALSE),IF(F17='2. AWARDS'!H$7,(1+O17)*VLOOKUP(G17,'2. AWARDS'!$C$9:$O$35,11,FALSE),IF(F17='2. AWARDS'!I$7,(1+O17)*VLOOKUP(G17,'2. AWARDS'!$C$9:$O$35,12,FALSE),IF(F17='2. AWARDS'!J$7,(1+O17)*VLOOKUP(G17,'2. AWARDS'!$C$9:$O$35,13,FALSE)))))),IF(AND(M17&lt;N17,M17&gt;P17),IF(F17='2. AWARDS'!F$7,(1+(Q17/9))*VLOOKUP(G17,'2. AWARDS'!$C$9:$O$35,9,FALSE),IF(F17='2. AWARDS'!G$7,(1+(Q17/9))*VLOOKUP(G17,'2. AWARDS'!$C$9:$O$35,10,FALSE),IF(F17='2. AWARDS'!H$7,(1+(Q17/9))*VLOOKUP(G17,'2. AWARDS'!$C$9:$O$35,11,FALSE),IF(F17='2. AWARDS'!I$7,(1+(Q17/9))*VLOOKUP(G17,'2. AWARDS'!$C$9:$O$35,12,FALSE),IF(F17='2. AWARDS'!J$7,(1+(Q17/9))*VLOOKUP(G17,'2. AWARDS'!$C$9:$O$35,13,FALSE)))))),IF(OR(M17=MAX(N17,P17),AND(M17&gt;N17,M17&gt;P17)),IF(F17='2. AWARDS'!F$7,((1+(Q17/9))*(1+O17))*VLOOKUP(G17,'2. AWARDS'!$C$9:$O$35,9,FALSE),IF(F17='2. AWARDS'!G$7,((1+(Q17/9))*(1+O17))*VLOOKUP(G17,'2. AWARDS'!$C$9:$O$35,10,FALSE),IF(F17='2. AWARDS'!H$7,((1+(Q17/9))*(1+O17))*VLOOKUP(G17,'2. AWARDS'!$C$9:$O$35,11,FALSE),IF(F17='2. AWARDS'!I$7,((1+(Q17/9))*(1+O17))*VLOOKUP(G17,'2. AWARDS'!$C$9:$O$35,12,FALSE),IF(F17='2. AWARDS'!J$7,((1+(Q17/9))*(1+O17))*VLOOKUP(G17,'2. AWARDS'!$C$9:$O$35,13,FALSE)))))),"?")))))))))))</f>
        <v>0</v>
      </c>
      <c r="Y17" s="656" t="e">
        <f>IF(AND(F17='2. AWARDS'!G10,N17&gt;M17,N17&gt;P17,VLOOKUP(G17,'2. AWARDS'!$C$9:$O$35,9,FALSE)&lt;&gt;0),VLOOKUP(G17,'2. AWARDS'!$C$9:$O$35,9,FALSE)*(1+O17)*(1+(Q17/9)),IF(AND(F17='2. AWARDS'!G10,N17&gt;M17,N17&gt;P17,VLOOKUP(G17,'2. AWARDS'!$C$9:$O$35,9,FALSE)=0),W17*(1+O17)*(1+(Q17/9)),IF(AND(F17='2. AWARDS'!H10,N17&gt;M17,N17&gt;P17,VLOOKUP(G17,'2. AWARDS'!$C$9:$O$35,10,FALSE)&lt;&gt;0),VLOOKUP(G17,'2. AWARDS'!$C$9:$O$35,10,FALSE)*(1+O17)*(1+(Q17/9)),IF(AND(F17='2. AWARDS'!H10,N17&gt;M17,N17&gt;P17,VLOOKUP(G17,'2. AWARDS'!$C$9:$O$35,10,FALSE)=0),W17*(1+O17)*(1+(Q17/9)),IF(AND(F17='2. AWARDS'!I10,N17&gt;M17,N17&gt;P17,VLOOKUP(G17,'2. AWARDS'!$C$9:$O$35,11,FALSE)&lt;&gt;0),VLOOKUP(G17,'2. AWARDS'!$C$9:$O$35,11,FALSE)*(1+O17)*(1+(Q17/9)),IF(AND(F17='2. AWARDS'!I10,N17&gt;M17,N17&gt;P17,VLOOKUP(G17,'2. AWARDS'!$C$9:$O$35,11,FALSE)=0),W17*(1+O17)*(1+(Q17/9)),IF(AND(F17='2. AWARDS'!J10,N17&gt;M17,N17&gt;P17,VLOOKUP(G17,'2. AWARDS'!$C$9:$O$35,12,FALSE)&lt;&gt;0),VLOOKUP(G17,'2. AWARDS'!$C$9:$O$35,12,FALSE)*(1+O17)*(1+(Q17/9)),IF(AND(F17='2. AWARDS'!J10,N17&gt;M17,N17&gt;P17,VLOOKUP(G17,'2. AWARDS'!$C$9:$O$35,12,FALSE)=0),W17*(1+O17)*(1+(Q17/9)),IF(AND(F17='2. AWARDS'!K10,N17&gt;M17,N17&gt;P17,VLOOKUP(G17,'2. AWARDS'!$C$9:$O$35,13,FALSE)&lt;&gt;0),VLOOKUP(G17,'2. AWARDS'!$C$9:$O$35,13,FALSE)*(1+O17)*(1+(Q17/9)),IF(AND(F17='2. AWARDS'!K10,N17&gt;M17,N17&gt;P17,VLOOKUP(G17,'2. AWARDS'!$C$9:$O$35,13,FALSE)=0),W17*(1+O17)*(1+(Q17/9)),IF(AND(N17&lt;M17,N17&gt;P17),W17*(1+O17)*(1+(Q17/9)),IF(AND(F17='2. AWARDS'!G10,N17=MAX(M17,P17),VLOOKUP(G17,'2. AWARDS'!$C$9:$O$35,9,FALSE)&lt;&gt;0),VLOOKUP(G17,'2. AWARDS'!$C$9:$O$35,9,FALSE)*(1+O17)*(1+(Q17/9)),IF(AND(F17='2. AWARDS'!G10,N17=MAX(M17,P17),VLOOKUP(G17,'2. AWARDS'!$C$9:$O$35,9,FALSE)=0),W17*(1+O17)*(1+(Q17/9)),IF(AND(F17='2. AWARDS'!H10,N17=MAX(M17,P17),VLOOKUP(G17,'2. AWARDS'!$C$9:$O$35,10,FALSE)&lt;&gt;0),VLOOKUP(G17,'2. AWARDS'!$C$9:$O$35,10,FALSE)*(1+O17)*(1+(Q17/9)),IF(AND(F17='2. AWARDS'!H10,N17=MAX(M17,P17),VLOOKUP(G17,'2. AWARDS'!$C$9:$O$35,10,FALSE)=0),W17*(1+O17)*(1+(Q17/9)),IF(AND(F17='2. AWARDS'!I10,N17=MAX(M17,P17),VLOOKUP(G17,'2. AWARDS'!$C$9:$O$35,11,FALSE)&lt;&gt;0),VLOOKUP(G17,'2. AWARDS'!$C$9:$O$35,11,FALSE)*(1+O17)*(1+(Q17/9)),IF(AND(F17='2. AWARDS'!I10,N17=MAX(M17,P17),VLOOKUP(G17,'2. AWARDS'!$C$9:$O$35,11,FALSE)=0),W17*(1+O17)*(1+(Q17/9)),IF(AND(F17='2. AWARDS'!J10,N17=MAX(M17,P17),VLOOKUP(G17,'2. AWARDS'!$C$9:$O$35,12,FALSE)&lt;&gt;0),VLOOKUP(G17,'2. AWARDS'!$C$9:$O$35,12,FALSE)*(1+O17)*(1+(Q17/9)),IF(AND(F17='2. AWARDS'!J10,N17=MAX(M17,P17),VLOOKUP(G17,'2. AWARDS'!$C$9:$O$35,12,FALSE)=0),W17*(1+O17)*(1+(Q17/9)),IF(AND(F17='2. AWARDS'!K10,N17=MAX(M17,P17),VLOOKUP(G17,'2. AWARDS'!$C$9:$O$35,13,FALSE)&lt;&gt;0),VLOOKUP(G17,'2. AWARDS'!$C$9:$O$35,13,FALSE)*(1+O17)*(1+(Q17/9)),IF(AND(F17='2. AWARDS'!K10,N17=MAX(M17,P17),VLOOKUP(G17,'2. AWARDS'!$C$9:$O$35,13,FALSE)=0),W17*(1+O17)*(1+(Q17/9)),IF(AND(N17&lt;M17,N17&lt;P17),W17*(1+O17),IF(AND(N17=M17,M17&lt;P17,F17='2. AWARDS'!G10),VLOOKUP(G17,'2. AWARDS'!$C$9:$O$35,9,FALSE)*(1+O17),IF(AND(N17=M17,M17&lt;P17,F17='2. AWARDS'!H10),VLOOKUP(G17,'2. AWARDS'!$C$9:$O$35,10,FALSE)*(1+O17),IF(AND(N17=M17,M17&lt;P17,F17='2. AWARDS'!I10),VLOOKUP(G17,'2. AWARDS'!$C$9:$O$35,11,FALSE)*(1+O17),IF(AND(N17=M17,M17&lt;P17,F17='2. AWARDS'!J10),VLOOKUP(G17,'2. AWARDS'!$C$9:$O$35,12,FALSE)*(1+O17),IF(AND(N17=M17,M17&lt;P17,F17='2. AWARDS'!K10),VLOOKUP(G17,'2. AWARDS'!$C$9:$O$35,13,FALSE)*(1+O17),IF(AND(N17=P17,M17&gt;P17),W17*(1+O17)*(1+(Q17/9)),IF(AND(F17='2. AWARDS'!G10,N17&gt;M17,N17&lt;P17,VLOOKUP(G17,'2. AWARDS'!$C$9:$O$35,9,FALSE)&lt;&gt;0),VLOOKUP(G17,'2. AWARDS'!$C$9:$O$35,9,FALSE)*(1+O17),IF(AND(F17='2. AWARDS'!H10,N17&gt;M17,N17&lt;P17,VLOOKUP(G17,'2. AWARDS'!$C$9:$O$35,10,FALSE)&lt;&gt;0),VLOOKUP(G17,'2. AWARDS'!$C$9:$O$35,10,FALSE)*(1+O17),IF(AND(F17='2. AWARDS'!I10,N17&gt;M17,N17&lt;P17,VLOOKUP(G17,'2. AWARDS'!$C$9:$O$35,11,FALSE)&lt;&gt;0),VLOOKUP(G17,'2. AWARDS'!$C$9:$O$35,11,FALSE)*(1+O17),IF(AND(F17='2. AWARDS'!J10,N17&gt;M17,N17&lt;P17,VLOOKUP(G17,'2. AWARDS'!$C$9:$O$35,12,FALSE)&lt;&gt;0),VLOOKUP(G17,'2. AWARDS'!$C$9:$O$35,12,FALSE)*(1+O17),IF(AND(F17='2. AWARDS'!K10,N17&gt;M17,N17&lt;P17,VLOOKUP(G17,'2. AWARDS'!$C$9:$O$35,13,FALSE)&lt;&gt;0),VLOOKUP(G17,'2. AWARDS'!$C$9:$O$35,13,FALSE)*(1+O17),W17*(1+O17))))))))))))))))))))))))))))))))))</f>
        <v>#N/A</v>
      </c>
      <c r="Z17" s="661" t="e">
        <f t="shared" si="4"/>
        <v>#N/A</v>
      </c>
      <c r="AA17" s="683"/>
      <c r="AB17" s="774"/>
      <c r="AC17" s="777"/>
      <c r="AD17" s="781" t="e">
        <f>HLOOKUP(F17,'2. AWARDS'!$F$7:$J$40,32,FALSE)/5*HLOOKUP(F17,'2. AWARDS'!$F$7:$J$40,31,FALSE)*MAX(V17:Z17)*L17*HLOOKUP(F17,'2. AWARDS'!$F$7:$J$40,34,FALSE)</f>
        <v>#N/A</v>
      </c>
      <c r="AE17" s="783" t="e">
        <f>((HLOOKUP(F17,'2. AWARDS'!$F$7:$J$42,36,FALSE)/HLOOKUP(F17,'2. AWARDS'!$F$7:$J$42,35,FALSE)*HLOOKUP(F17,'2. AWARDS'!$F$7:$J$45,39,FALSE))/(HLOOKUP(F17,'2. AWARDS'!$F$7:$J$45,31,FALSE)*2)*K17*L17*HLOOKUP(F17,'2. AWARDS'!$F$7:$J$45,31,FALSE)*MAX(V17:Z17))</f>
        <v>#N/A</v>
      </c>
      <c r="AF17" s="474"/>
      <c r="AG17" s="804"/>
      <c r="AH17" s="801"/>
      <c r="AI17" s="801"/>
      <c r="AJ17" s="802"/>
      <c r="AK17" s="805"/>
      <c r="AL17" s="836">
        <f>IF(AG17="YES",HLOOKUP(F17,'2. AWARDS'!$F$7:$J$38,32,FALSE)/5*HLOOKUP(F17,'2. AWARDS'!$F$7:$J$37,31,FALSE)*K17/(HLOOKUP(F17,'2. AWARDS'!$F$7:$J$37,31,FALSE)*2)*L17*MAX(V17:Z17)*(1+HLOOKUP(F17,'2. AWARDS'!$F$7:$J$43,37,FALSE))*(1-AJ17),0)</f>
        <v>0</v>
      </c>
      <c r="AM17" s="836">
        <f>IF(AH17="YES",HLOOKUP(F17,'2. AWARDS'!$F$7:$J$39,33,FALSE)/5*HLOOKUP(F17,'2. AWARDS'!$F$7:$J$37,31,FALSE)*K17/(HLOOKUP(F17,'2. AWARDS'!$F$7:$J$37,31,FALSE)*2)*L17*MAX(V17:Z17)*(1+HLOOKUP(F17,'2. AWARDS'!$F$7:$J$43,37,FALSE))*(1-AJ17),0)</f>
        <v>0</v>
      </c>
      <c r="AN17" s="838">
        <f>IF(AI17="YES",HLOOKUP(F17,'2. AWARDS'!$F$7:$J$47,40,FALSE)/5*HLOOKUP(F17,'2. AWARDS'!$F$7:$J$37,31,FALSE)*K17/(HLOOKUP(F17,'2. AWARDS'!$F$7:$J$37,31,FALSE)*2)*L17*MAX(V17:Z17)*(1+HLOOKUP(F17,'2. AWARDS'!$F$7:$J$43,37,FALSE))*(1-AJ17),0)</f>
        <v>0</v>
      </c>
      <c r="AO17" s="839" t="e">
        <f>(IF(AG17="YES",HLOOKUP(F17,'2. AWARDS'!$F$7:$J$39,32,FALSE),0)+IF(AH17="YES",HLOOKUP(F17,'2. AWARDS'!$F$7:$J$39,33,FALSE),0)+IF(AI17="YES",HLOOKUP(F17,'2. AWARDS'!$F$7:$J$47,40,FALSE),0))/5*(HLOOKUP(F17,'2. AWARDS'!$F$7:$J$39,31,FALSE)*2)*AJ17*AK17</f>
        <v>#N/A</v>
      </c>
      <c r="AP17" s="683"/>
      <c r="AQ17" s="802">
        <f>'1. KEY DATA'!J$29</f>
        <v>0</v>
      </c>
      <c r="AR17" s="822">
        <f>'1. KEY DATA'!J$30</f>
        <v>0.09</v>
      </c>
      <c r="AS17" s="502"/>
      <c r="AT17" s="478">
        <f t="shared" si="1"/>
        <v>0</v>
      </c>
      <c r="AV17" s="337" t="e">
        <f t="shared" si="5"/>
        <v>#DIV/0!</v>
      </c>
      <c r="AW17" s="334" t="e">
        <f t="shared" si="2"/>
        <v>#DIV/0!</v>
      </c>
      <c r="AX17" s="334" t="e">
        <f t="shared" si="2"/>
        <v>#DIV/0!</v>
      </c>
      <c r="AY17" s="334" t="e">
        <f t="shared" si="2"/>
        <v>#DIV/0!</v>
      </c>
      <c r="AZ17" s="338" t="e">
        <f t="shared" si="2"/>
        <v>#DIV/0!</v>
      </c>
      <c r="BA17" s="342" t="e">
        <f t="shared" si="6"/>
        <v>#DIV/0!</v>
      </c>
      <c r="BC17" s="587"/>
      <c r="BD17" s="59"/>
      <c r="BE17" s="352">
        <f t="shared" si="7"/>
        <v>0</v>
      </c>
      <c r="BF17" s="128"/>
      <c r="BG17" s="346">
        <f>'8. PROGRAM PRICING'!$D$22</f>
        <v>0</v>
      </c>
      <c r="BH17" s="347">
        <f>'8. PROGRAM PRICING'!$D$23</f>
        <v>0</v>
      </c>
      <c r="BI17" s="130"/>
      <c r="BJ17" s="352">
        <f t="shared" si="8"/>
        <v>0</v>
      </c>
      <c r="BK17" s="426"/>
    </row>
    <row r="18" spans="2:66" s="9" customFormat="1">
      <c r="B18" s="14">
        <v>5</v>
      </c>
      <c r="C18" s="583" t="s">
        <v>83</v>
      </c>
      <c r="D18" s="896"/>
      <c r="E18" s="699">
        <f t="shared" si="3"/>
        <v>0</v>
      </c>
      <c r="F18" s="626"/>
      <c r="G18" s="652"/>
      <c r="H18" s="702"/>
      <c r="I18" s="693"/>
      <c r="J18" s="694"/>
      <c r="K18" s="1087"/>
      <c r="L18" s="689"/>
      <c r="M18" s="629"/>
      <c r="N18" s="629"/>
      <c r="O18" s="638">
        <f t="shared" si="9"/>
        <v>0.03</v>
      </c>
      <c r="P18" s="629"/>
      <c r="Q18" s="673" t="str">
        <f t="shared" si="0"/>
        <v>-</v>
      </c>
      <c r="R18" s="649"/>
      <c r="S18" s="647"/>
      <c r="T18" s="827"/>
      <c r="U18" s="670"/>
      <c r="V18" s="798">
        <f t="shared" si="10"/>
        <v>0</v>
      </c>
      <c r="W18" s="656">
        <f>IF(OR(F18=0,G18=0),0,IF(F18='2. AWARDS'!G$7,VLOOKUP(G18,'2. AWARDS'!$C$9:$F$35,4,FALSE),IF(F18='2. AWARDS'!H$7,VLOOKUP(G18,'2. AWARDS'!$C$9:$G$35,5,FALSE),IF(F18='2. AWARDS'!I$7,VLOOKUP(G18,'2. AWARDS'!$C$9:$H$35,6,FALSE),IF(F18='2. AWARDS'!J$7,VLOOKUP(G18,'2. AWARDS'!$C$9:$I$35,7,FALSE),VLOOKUP(G18,'2. AWARDS'!$C$9:$J$35,8,FALSE))))))</f>
        <v>0</v>
      </c>
      <c r="X18" s="657">
        <f>IF(OR(F18=0,G18=0),0,IF(AND(M18=0,F18='2. AWARDS'!F$7,VLOOKUP(G18,'2. AWARDS'!$C$9:$O$35,9,FALSE)&lt;&gt;0),"date missing",IF(AND(M18=0,F18='2. AWARDS'!G$7,VLOOKUP(G18,'2. AWARDS'!$C$9:$O$35,10,FALSE)&lt;&gt;0),"date missing",IF(AND(M18=0,F18='2. AWARDS'!H$7,VLOOKUP(G18,'2. AWARDS'!$C$9:$O$35,11,FALSE)&lt;&gt;0),"date missing",IF(AND(M18=0,F18='2. AWARDS'!I$7,VLOOKUP(G18,'2. AWARDS'!$C$9:$O$35,12,FALSE)&lt;&gt;0),"date missing",IF(AND(M18=0,F18='2. AWARDS'!J$7,VLOOKUP(G18,'2. AWARDS'!$C$9:$O$35,13,FALSE)&lt;&gt;0),"date missing",IF(M18=0,0,IF(OR(M18=MIN(N18,P18),AND(M18&lt;N18,M18&lt;P18,M18&gt;0)),IF(F18='2. AWARDS'!G$7,VLOOKUP(G18,'2. AWARDS'!$C$9:$O$35,9,FALSE),IF(F18='2. AWARDS'!H$7,VLOOKUP(G18,'2. AWARDS'!$C$9:$O$35,10,FALSE),IF(F18='2. AWARDS'!I$7,VLOOKUP(G18,'2. AWARDS'!$C$9:$O$35,11,FALSE),IF(F18='2. AWARDS'!J$7,VLOOKUP(G18,'2. AWARDS'!$C$9:$O$35,12,FALSE),IF(F18='2. AWARDS'!J$7,VLOOKUP(G18,'2. AWARDS'!$C$9:$O$35,13,FALSE)))))),IF(AND(M18&gt;N18,M18&lt;P18),IF(F18='2. AWARDS'!F$7,(1+O18)*VLOOKUP(G18,'2. AWARDS'!$C$9:$O$35,9,FALSE),IF(F18='2. AWARDS'!G$7,(1+O18)*VLOOKUP(G18,'2. AWARDS'!$C$9:$O$35,10,FALSE),IF(F18='2. AWARDS'!H$7,(1+O18)*VLOOKUP(G18,'2. AWARDS'!$C$9:$O$35,11,FALSE),IF(F18='2. AWARDS'!I$7,(1+O18)*VLOOKUP(G18,'2. AWARDS'!$C$9:$O$35,12,FALSE),IF(F18='2. AWARDS'!J$7,(1+O18)*VLOOKUP(G18,'2. AWARDS'!$C$9:$O$35,13,FALSE)))))),IF(AND(M18&lt;N18,M18&gt;P18),IF(F18='2. AWARDS'!F$7,(1+(Q18/9))*VLOOKUP(G18,'2. AWARDS'!$C$9:$O$35,9,FALSE),IF(F18='2. AWARDS'!G$7,(1+(Q18/9))*VLOOKUP(G18,'2. AWARDS'!$C$9:$O$35,10,FALSE),IF(F18='2. AWARDS'!H$7,(1+(Q18/9))*VLOOKUP(G18,'2. AWARDS'!$C$9:$O$35,11,FALSE),IF(F18='2. AWARDS'!I$7,(1+(Q18/9))*VLOOKUP(G18,'2. AWARDS'!$C$9:$O$35,12,FALSE),IF(F18='2. AWARDS'!J$7,(1+(Q18/9))*VLOOKUP(G18,'2. AWARDS'!$C$9:$O$35,13,FALSE)))))),IF(OR(M18=MAX(N18,P18),AND(M18&gt;N18,M18&gt;P18)),IF(F18='2. AWARDS'!F$7,((1+(Q18/9))*(1+O18))*VLOOKUP(G18,'2. AWARDS'!$C$9:$O$35,9,FALSE),IF(F18='2. AWARDS'!G$7,((1+(Q18/9))*(1+O18))*VLOOKUP(G18,'2. AWARDS'!$C$9:$O$35,10,FALSE),IF(F18='2. AWARDS'!H$7,((1+(Q18/9))*(1+O18))*VLOOKUP(G18,'2. AWARDS'!$C$9:$O$35,11,FALSE),IF(F18='2. AWARDS'!I$7,((1+(Q18/9))*(1+O18))*VLOOKUP(G18,'2. AWARDS'!$C$9:$O$35,12,FALSE),IF(F18='2. AWARDS'!J$7,((1+(Q18/9))*(1+O18))*VLOOKUP(G18,'2. AWARDS'!$C$9:$O$35,13,FALSE)))))),"?")))))))))))</f>
        <v>0</v>
      </c>
      <c r="Y18" s="656" t="e">
        <f>IF(AND(F18='2. AWARDS'!G11,N18&gt;M18,N18&gt;P18,VLOOKUP(G18,'2. AWARDS'!$C$9:$O$35,9,FALSE)&lt;&gt;0),VLOOKUP(G18,'2. AWARDS'!$C$9:$O$35,9,FALSE)*(1+O18)*(1+(Q18/9)),IF(AND(F18='2. AWARDS'!G11,N18&gt;M18,N18&gt;P18,VLOOKUP(G18,'2. AWARDS'!$C$9:$O$35,9,FALSE)=0),W18*(1+O18)*(1+(Q18/9)),IF(AND(F18='2. AWARDS'!H11,N18&gt;M18,N18&gt;P18,VLOOKUP(G18,'2. AWARDS'!$C$9:$O$35,10,FALSE)&lt;&gt;0),VLOOKUP(G18,'2. AWARDS'!$C$9:$O$35,10,FALSE)*(1+O18)*(1+(Q18/9)),IF(AND(F18='2. AWARDS'!H11,N18&gt;M18,N18&gt;P18,VLOOKUP(G18,'2. AWARDS'!$C$9:$O$35,10,FALSE)=0),W18*(1+O18)*(1+(Q18/9)),IF(AND(F18='2. AWARDS'!I11,N18&gt;M18,N18&gt;P18,VLOOKUP(G18,'2. AWARDS'!$C$9:$O$35,11,FALSE)&lt;&gt;0),VLOOKUP(G18,'2. AWARDS'!$C$9:$O$35,11,FALSE)*(1+O18)*(1+(Q18/9)),IF(AND(F18='2. AWARDS'!I11,N18&gt;M18,N18&gt;P18,VLOOKUP(G18,'2. AWARDS'!$C$9:$O$35,11,FALSE)=0),W18*(1+O18)*(1+(Q18/9)),IF(AND(F18='2. AWARDS'!J11,N18&gt;M18,N18&gt;P18,VLOOKUP(G18,'2. AWARDS'!$C$9:$O$35,12,FALSE)&lt;&gt;0),VLOOKUP(G18,'2. AWARDS'!$C$9:$O$35,12,FALSE)*(1+O18)*(1+(Q18/9)),IF(AND(F18='2. AWARDS'!J11,N18&gt;M18,N18&gt;P18,VLOOKUP(G18,'2. AWARDS'!$C$9:$O$35,12,FALSE)=0),W18*(1+O18)*(1+(Q18/9)),IF(AND(F18='2. AWARDS'!K11,N18&gt;M18,N18&gt;P18,VLOOKUP(G18,'2. AWARDS'!$C$9:$O$35,13,FALSE)&lt;&gt;0),VLOOKUP(G18,'2. AWARDS'!$C$9:$O$35,13,FALSE)*(1+O18)*(1+(Q18/9)),IF(AND(F18='2. AWARDS'!K11,N18&gt;M18,N18&gt;P18,VLOOKUP(G18,'2. AWARDS'!$C$9:$O$35,13,FALSE)=0),W18*(1+O18)*(1+(Q18/9)),IF(AND(N18&lt;M18,N18&gt;P18),W18*(1+O18)*(1+(Q18/9)),IF(AND(F18='2. AWARDS'!G11,N18=MAX(M18,P18),VLOOKUP(G18,'2. AWARDS'!$C$9:$O$35,9,FALSE)&lt;&gt;0),VLOOKUP(G18,'2. AWARDS'!$C$9:$O$35,9,FALSE)*(1+O18)*(1+(Q18/9)),IF(AND(F18='2. AWARDS'!G11,N18=MAX(M18,P18),VLOOKUP(G18,'2. AWARDS'!$C$9:$O$35,9,FALSE)=0),W18*(1+O18)*(1+(Q18/9)),IF(AND(F18='2. AWARDS'!H11,N18=MAX(M18,P18),VLOOKUP(G18,'2. AWARDS'!$C$9:$O$35,10,FALSE)&lt;&gt;0),VLOOKUP(G18,'2. AWARDS'!$C$9:$O$35,10,FALSE)*(1+O18)*(1+(Q18/9)),IF(AND(F18='2. AWARDS'!H11,N18=MAX(M18,P18),VLOOKUP(G18,'2. AWARDS'!$C$9:$O$35,10,FALSE)=0),W18*(1+O18)*(1+(Q18/9)),IF(AND(F18='2. AWARDS'!I11,N18=MAX(M18,P18),VLOOKUP(G18,'2. AWARDS'!$C$9:$O$35,11,FALSE)&lt;&gt;0),VLOOKUP(G18,'2. AWARDS'!$C$9:$O$35,11,FALSE)*(1+O18)*(1+(Q18/9)),IF(AND(F18='2. AWARDS'!I11,N18=MAX(M18,P18),VLOOKUP(G18,'2. AWARDS'!$C$9:$O$35,11,FALSE)=0),W18*(1+O18)*(1+(Q18/9)),IF(AND(F18='2. AWARDS'!J11,N18=MAX(M18,P18),VLOOKUP(G18,'2. AWARDS'!$C$9:$O$35,12,FALSE)&lt;&gt;0),VLOOKUP(G18,'2. AWARDS'!$C$9:$O$35,12,FALSE)*(1+O18)*(1+(Q18/9)),IF(AND(F18='2. AWARDS'!J11,N18=MAX(M18,P18),VLOOKUP(G18,'2. AWARDS'!$C$9:$O$35,12,FALSE)=0),W18*(1+O18)*(1+(Q18/9)),IF(AND(F18='2. AWARDS'!K11,N18=MAX(M18,P18),VLOOKUP(G18,'2. AWARDS'!$C$9:$O$35,13,FALSE)&lt;&gt;0),VLOOKUP(G18,'2. AWARDS'!$C$9:$O$35,13,FALSE)*(1+O18)*(1+(Q18/9)),IF(AND(F18='2. AWARDS'!K11,N18=MAX(M18,P18),VLOOKUP(G18,'2. AWARDS'!$C$9:$O$35,13,FALSE)=0),W18*(1+O18)*(1+(Q18/9)),IF(AND(N18&lt;M18,N18&lt;P18),W18*(1+O18),IF(AND(N18=M18,M18&lt;P18,F18='2. AWARDS'!G11),VLOOKUP(G18,'2. AWARDS'!$C$9:$O$35,9,FALSE)*(1+O18),IF(AND(N18=M18,M18&lt;P18,F18='2. AWARDS'!H11),VLOOKUP(G18,'2. AWARDS'!$C$9:$O$35,10,FALSE)*(1+O18),IF(AND(N18=M18,M18&lt;P18,F18='2. AWARDS'!I11),VLOOKUP(G18,'2. AWARDS'!$C$9:$O$35,11,FALSE)*(1+O18),IF(AND(N18=M18,M18&lt;P18,F18='2. AWARDS'!J11),VLOOKUP(G18,'2. AWARDS'!$C$9:$O$35,12,FALSE)*(1+O18),IF(AND(N18=M18,M18&lt;P18,F18='2. AWARDS'!K11),VLOOKUP(G18,'2. AWARDS'!$C$9:$O$35,13,FALSE)*(1+O18),IF(AND(N18=P18,M18&gt;P18),W18*(1+O18)*(1+(Q18/9)),IF(AND(F18='2. AWARDS'!G11,N18&gt;M18,N18&lt;P18,VLOOKUP(G18,'2. AWARDS'!$C$9:$O$35,9,FALSE)&lt;&gt;0),VLOOKUP(G18,'2. AWARDS'!$C$9:$O$35,9,FALSE)*(1+O18),IF(AND(F18='2. AWARDS'!H11,N18&gt;M18,N18&lt;P18,VLOOKUP(G18,'2. AWARDS'!$C$9:$O$35,10,FALSE)&lt;&gt;0),VLOOKUP(G18,'2. AWARDS'!$C$9:$O$35,10,FALSE)*(1+O18),IF(AND(F18='2. AWARDS'!I11,N18&gt;M18,N18&lt;P18,VLOOKUP(G18,'2. AWARDS'!$C$9:$O$35,11,FALSE)&lt;&gt;0),VLOOKUP(G18,'2. AWARDS'!$C$9:$O$35,11,FALSE)*(1+O18),IF(AND(F18='2. AWARDS'!J11,N18&gt;M18,N18&lt;P18,VLOOKUP(G18,'2. AWARDS'!$C$9:$O$35,12,FALSE)&lt;&gt;0),VLOOKUP(G18,'2. AWARDS'!$C$9:$O$35,12,FALSE)*(1+O18),IF(AND(F18='2. AWARDS'!K11,N18&gt;M18,N18&lt;P18,VLOOKUP(G18,'2. AWARDS'!$C$9:$O$35,13,FALSE)&lt;&gt;0),VLOOKUP(G18,'2. AWARDS'!$C$9:$O$35,13,FALSE)*(1+O18),W18*(1+O18))))))))))))))))))))))))))))))))))</f>
        <v>#N/A</v>
      </c>
      <c r="Z18" s="661" t="e">
        <f t="shared" si="4"/>
        <v>#N/A</v>
      </c>
      <c r="AA18" s="683"/>
      <c r="AB18" s="774"/>
      <c r="AC18" s="777"/>
      <c r="AD18" s="781" t="e">
        <f>HLOOKUP(F18,'2. AWARDS'!$F$7:$J$40,32,FALSE)/5*HLOOKUP(F18,'2. AWARDS'!$F$7:$J$40,31,FALSE)*MAX(V18:Z18)*L18*HLOOKUP(F18,'2. AWARDS'!$F$7:$J$40,34,FALSE)</f>
        <v>#N/A</v>
      </c>
      <c r="AE18" s="783" t="e">
        <f>((HLOOKUP(F18,'2. AWARDS'!$F$7:$J$42,36,FALSE)/HLOOKUP(F18,'2. AWARDS'!$F$7:$J$42,35,FALSE)*HLOOKUP(F18,'2. AWARDS'!$F$7:$J$45,39,FALSE))/(HLOOKUP(F18,'2. AWARDS'!$F$7:$J$45,31,FALSE)*2)*K18*L18*HLOOKUP(F18,'2. AWARDS'!$F$7:$J$45,31,FALSE)*MAX(V18:Z18))</f>
        <v>#N/A</v>
      </c>
      <c r="AF18" s="474"/>
      <c r="AG18" s="804"/>
      <c r="AH18" s="801"/>
      <c r="AI18" s="801"/>
      <c r="AJ18" s="802"/>
      <c r="AK18" s="805"/>
      <c r="AL18" s="836">
        <f>IF(AG18="YES",HLOOKUP(F18,'2. AWARDS'!$F$7:$J$38,32,FALSE)/5*HLOOKUP(F18,'2. AWARDS'!$F$7:$J$37,31,FALSE)*K18/(HLOOKUP(F18,'2. AWARDS'!$F$7:$J$37,31,FALSE)*2)*L18*MAX(V18:Z18)*(1+HLOOKUP(F18,'2. AWARDS'!$F$7:$J$43,37,FALSE))*(1-AJ18),0)</f>
        <v>0</v>
      </c>
      <c r="AM18" s="836">
        <f>IF(AH18="YES",HLOOKUP(F18,'2. AWARDS'!$F$7:$J$39,33,FALSE)/5*HLOOKUP(F18,'2. AWARDS'!$F$7:$J$37,31,FALSE)*K18/(HLOOKUP(F18,'2. AWARDS'!$F$7:$J$37,31,FALSE)*2)*L18*MAX(V18:Z18)*(1+HLOOKUP(F18,'2. AWARDS'!$F$7:$J$43,37,FALSE))*(1-AJ18),0)</f>
        <v>0</v>
      </c>
      <c r="AN18" s="838">
        <f>IF(AI18="YES",HLOOKUP(F18,'2. AWARDS'!$F$7:$J$47,40,FALSE)/5*HLOOKUP(F18,'2. AWARDS'!$F$7:$J$37,31,FALSE)*K18/(HLOOKUP(F18,'2. AWARDS'!$F$7:$J$37,31,FALSE)*2)*L18*MAX(V18:Z18)*(1+HLOOKUP(F18,'2. AWARDS'!$F$7:$J$43,37,FALSE))*(1-AJ18),0)</f>
        <v>0</v>
      </c>
      <c r="AO18" s="839" t="e">
        <f>(IF(AG18="YES",HLOOKUP(F18,'2. AWARDS'!$F$7:$J$39,32,FALSE),0)+IF(AH18="YES",HLOOKUP(F18,'2. AWARDS'!$F$7:$J$39,33,FALSE),0)+IF(AI18="YES",HLOOKUP(F18,'2. AWARDS'!$F$7:$J$47,40,FALSE),0))/5*(HLOOKUP(F18,'2. AWARDS'!$F$7:$J$39,31,FALSE)*2)*AJ18*AK18</f>
        <v>#N/A</v>
      </c>
      <c r="AP18" s="683"/>
      <c r="AQ18" s="802">
        <f>'1. KEY DATA'!J$29</f>
        <v>0</v>
      </c>
      <c r="AR18" s="822">
        <f>'1. KEY DATA'!J$30</f>
        <v>0.09</v>
      </c>
      <c r="AS18" s="502"/>
      <c r="AT18" s="478">
        <f t="shared" si="1"/>
        <v>0</v>
      </c>
      <c r="AV18" s="337" t="e">
        <f t="shared" si="5"/>
        <v>#DIV/0!</v>
      </c>
      <c r="AW18" s="334" t="e">
        <f t="shared" si="2"/>
        <v>#DIV/0!</v>
      </c>
      <c r="AX18" s="334" t="e">
        <f t="shared" si="2"/>
        <v>#DIV/0!</v>
      </c>
      <c r="AY18" s="334" t="e">
        <f t="shared" si="2"/>
        <v>#DIV/0!</v>
      </c>
      <c r="AZ18" s="338" t="e">
        <f t="shared" si="2"/>
        <v>#DIV/0!</v>
      </c>
      <c r="BA18" s="342" t="e">
        <f t="shared" si="6"/>
        <v>#DIV/0!</v>
      </c>
      <c r="BC18" s="587"/>
      <c r="BD18" s="59"/>
      <c r="BE18" s="352">
        <f t="shared" si="7"/>
        <v>0</v>
      </c>
      <c r="BF18" s="128"/>
      <c r="BG18" s="346">
        <f>'8. PROGRAM PRICING'!$D$22</f>
        <v>0</v>
      </c>
      <c r="BH18" s="347">
        <f>'8. PROGRAM PRICING'!$D$23</f>
        <v>0</v>
      </c>
      <c r="BI18" s="130"/>
      <c r="BJ18" s="352">
        <f t="shared" si="8"/>
        <v>0</v>
      </c>
      <c r="BK18" s="426"/>
    </row>
    <row r="19" spans="2:66" s="9" customFormat="1">
      <c r="B19" s="14">
        <v>6</v>
      </c>
      <c r="C19" s="583" t="s">
        <v>83</v>
      </c>
      <c r="D19" s="896"/>
      <c r="E19" s="699">
        <f t="shared" si="3"/>
        <v>0</v>
      </c>
      <c r="F19" s="626"/>
      <c r="G19" s="652"/>
      <c r="H19" s="702"/>
      <c r="I19" s="693"/>
      <c r="J19" s="694"/>
      <c r="K19" s="1087"/>
      <c r="L19" s="689"/>
      <c r="M19" s="629"/>
      <c r="N19" s="629"/>
      <c r="O19" s="638">
        <f t="shared" si="9"/>
        <v>0.03</v>
      </c>
      <c r="P19" s="629"/>
      <c r="Q19" s="673" t="str">
        <f t="shared" si="0"/>
        <v>-</v>
      </c>
      <c r="R19" s="649"/>
      <c r="S19" s="647"/>
      <c r="T19" s="827"/>
      <c r="U19" s="670"/>
      <c r="V19" s="798">
        <f t="shared" si="10"/>
        <v>0</v>
      </c>
      <c r="W19" s="656">
        <f>IF(OR(F19=0,G19=0),0,IF(F19='2. AWARDS'!G$7,VLOOKUP(G19,'2. AWARDS'!$C$9:$F$35,4,FALSE),IF(F19='2. AWARDS'!H$7,VLOOKUP(G19,'2. AWARDS'!$C$9:$G$35,5,FALSE),IF(F19='2. AWARDS'!I$7,VLOOKUP(G19,'2. AWARDS'!$C$9:$H$35,6,FALSE),IF(F19='2. AWARDS'!J$7,VLOOKUP(G19,'2. AWARDS'!$C$9:$I$35,7,FALSE),VLOOKUP(G19,'2. AWARDS'!$C$9:$J$35,8,FALSE))))))</f>
        <v>0</v>
      </c>
      <c r="X19" s="657">
        <f>IF(OR(F19=0,G19=0),0,IF(AND(M19=0,F19='2. AWARDS'!F$7,VLOOKUP(G19,'2. AWARDS'!$C$9:$O$35,9,FALSE)&lt;&gt;0),"date missing",IF(AND(M19=0,F19='2. AWARDS'!G$7,VLOOKUP(G19,'2. AWARDS'!$C$9:$O$35,10,FALSE)&lt;&gt;0),"date missing",IF(AND(M19=0,F19='2. AWARDS'!H$7,VLOOKUP(G19,'2. AWARDS'!$C$9:$O$35,11,FALSE)&lt;&gt;0),"date missing",IF(AND(M19=0,F19='2. AWARDS'!I$7,VLOOKUP(G19,'2. AWARDS'!$C$9:$O$35,12,FALSE)&lt;&gt;0),"date missing",IF(AND(M19=0,F19='2. AWARDS'!J$7,VLOOKUP(G19,'2. AWARDS'!$C$9:$O$35,13,FALSE)&lt;&gt;0),"date missing",IF(M19=0,0,IF(OR(M19=MIN(N19,P19),AND(M19&lt;N19,M19&lt;P19,M19&gt;0)),IF(F19='2. AWARDS'!G$7,VLOOKUP(G19,'2. AWARDS'!$C$9:$O$35,9,FALSE),IF(F19='2. AWARDS'!H$7,VLOOKUP(G19,'2. AWARDS'!$C$9:$O$35,10,FALSE),IF(F19='2. AWARDS'!I$7,VLOOKUP(G19,'2. AWARDS'!$C$9:$O$35,11,FALSE),IF(F19='2. AWARDS'!J$7,VLOOKUP(G19,'2. AWARDS'!$C$9:$O$35,12,FALSE),IF(F19='2. AWARDS'!J$7,VLOOKUP(G19,'2. AWARDS'!$C$9:$O$35,13,FALSE)))))),IF(AND(M19&gt;N19,M19&lt;P19),IF(F19='2. AWARDS'!F$7,(1+O19)*VLOOKUP(G19,'2. AWARDS'!$C$9:$O$35,9,FALSE),IF(F19='2. AWARDS'!G$7,(1+O19)*VLOOKUP(G19,'2. AWARDS'!$C$9:$O$35,10,FALSE),IF(F19='2. AWARDS'!H$7,(1+O19)*VLOOKUP(G19,'2. AWARDS'!$C$9:$O$35,11,FALSE),IF(F19='2. AWARDS'!I$7,(1+O19)*VLOOKUP(G19,'2. AWARDS'!$C$9:$O$35,12,FALSE),IF(F19='2. AWARDS'!J$7,(1+O19)*VLOOKUP(G19,'2. AWARDS'!$C$9:$O$35,13,FALSE)))))),IF(AND(M19&lt;N19,M19&gt;P19),IF(F19='2. AWARDS'!F$7,(1+(Q19/9))*VLOOKUP(G19,'2. AWARDS'!$C$9:$O$35,9,FALSE),IF(F19='2. AWARDS'!G$7,(1+(Q19/9))*VLOOKUP(G19,'2. AWARDS'!$C$9:$O$35,10,FALSE),IF(F19='2. AWARDS'!H$7,(1+(Q19/9))*VLOOKUP(G19,'2. AWARDS'!$C$9:$O$35,11,FALSE),IF(F19='2. AWARDS'!I$7,(1+(Q19/9))*VLOOKUP(G19,'2. AWARDS'!$C$9:$O$35,12,FALSE),IF(F19='2. AWARDS'!J$7,(1+(Q19/9))*VLOOKUP(G19,'2. AWARDS'!$C$9:$O$35,13,FALSE)))))),IF(OR(M19=MAX(N19,P19),AND(M19&gt;N19,M19&gt;P19)),IF(F19='2. AWARDS'!F$7,((1+(Q19/9))*(1+O19))*VLOOKUP(G19,'2. AWARDS'!$C$9:$O$35,9,FALSE),IF(F19='2. AWARDS'!G$7,((1+(Q19/9))*(1+O19))*VLOOKUP(G19,'2. AWARDS'!$C$9:$O$35,10,FALSE),IF(F19='2. AWARDS'!H$7,((1+(Q19/9))*(1+O19))*VLOOKUP(G19,'2. AWARDS'!$C$9:$O$35,11,FALSE),IF(F19='2. AWARDS'!I$7,((1+(Q19/9))*(1+O19))*VLOOKUP(G19,'2. AWARDS'!$C$9:$O$35,12,FALSE),IF(F19='2. AWARDS'!J$7,((1+(Q19/9))*(1+O19))*VLOOKUP(G19,'2. AWARDS'!$C$9:$O$35,13,FALSE)))))),"?")))))))))))</f>
        <v>0</v>
      </c>
      <c r="Y19" s="656" t="e">
        <f>IF(AND(F19='2. AWARDS'!G12,N19&gt;M19,N19&gt;P19,VLOOKUP(G19,'2. AWARDS'!$C$9:$O$35,9,FALSE)&lt;&gt;0),VLOOKUP(G19,'2. AWARDS'!$C$9:$O$35,9,FALSE)*(1+O19)*(1+(Q19/9)),IF(AND(F19='2. AWARDS'!G12,N19&gt;M19,N19&gt;P19,VLOOKUP(G19,'2. AWARDS'!$C$9:$O$35,9,FALSE)=0),W19*(1+O19)*(1+(Q19/9)),IF(AND(F19='2. AWARDS'!H12,N19&gt;M19,N19&gt;P19,VLOOKUP(G19,'2. AWARDS'!$C$9:$O$35,10,FALSE)&lt;&gt;0),VLOOKUP(G19,'2. AWARDS'!$C$9:$O$35,10,FALSE)*(1+O19)*(1+(Q19/9)),IF(AND(F19='2. AWARDS'!H12,N19&gt;M19,N19&gt;P19,VLOOKUP(G19,'2. AWARDS'!$C$9:$O$35,10,FALSE)=0),W19*(1+O19)*(1+(Q19/9)),IF(AND(F19='2. AWARDS'!I12,N19&gt;M19,N19&gt;P19,VLOOKUP(G19,'2. AWARDS'!$C$9:$O$35,11,FALSE)&lt;&gt;0),VLOOKUP(G19,'2. AWARDS'!$C$9:$O$35,11,FALSE)*(1+O19)*(1+(Q19/9)),IF(AND(F19='2. AWARDS'!I12,N19&gt;M19,N19&gt;P19,VLOOKUP(G19,'2. AWARDS'!$C$9:$O$35,11,FALSE)=0),W19*(1+O19)*(1+(Q19/9)),IF(AND(F19='2. AWARDS'!J12,N19&gt;M19,N19&gt;P19,VLOOKUP(G19,'2. AWARDS'!$C$9:$O$35,12,FALSE)&lt;&gt;0),VLOOKUP(G19,'2. AWARDS'!$C$9:$O$35,12,FALSE)*(1+O19)*(1+(Q19/9)),IF(AND(F19='2. AWARDS'!J12,N19&gt;M19,N19&gt;P19,VLOOKUP(G19,'2. AWARDS'!$C$9:$O$35,12,FALSE)=0),W19*(1+O19)*(1+(Q19/9)),IF(AND(F19='2. AWARDS'!K12,N19&gt;M19,N19&gt;P19,VLOOKUP(G19,'2. AWARDS'!$C$9:$O$35,13,FALSE)&lt;&gt;0),VLOOKUP(G19,'2. AWARDS'!$C$9:$O$35,13,FALSE)*(1+O19)*(1+(Q19/9)),IF(AND(F19='2. AWARDS'!K12,N19&gt;M19,N19&gt;P19,VLOOKUP(G19,'2. AWARDS'!$C$9:$O$35,13,FALSE)=0),W19*(1+O19)*(1+(Q19/9)),IF(AND(N19&lt;M19,N19&gt;P19),W19*(1+O19)*(1+(Q19/9)),IF(AND(F19='2. AWARDS'!G12,N19=MAX(M19,P19),VLOOKUP(G19,'2. AWARDS'!$C$9:$O$35,9,FALSE)&lt;&gt;0),VLOOKUP(G19,'2. AWARDS'!$C$9:$O$35,9,FALSE)*(1+O19)*(1+(Q19/9)),IF(AND(F19='2. AWARDS'!G12,N19=MAX(M19,P19),VLOOKUP(G19,'2. AWARDS'!$C$9:$O$35,9,FALSE)=0),W19*(1+O19)*(1+(Q19/9)),IF(AND(F19='2. AWARDS'!H12,N19=MAX(M19,P19),VLOOKUP(G19,'2. AWARDS'!$C$9:$O$35,10,FALSE)&lt;&gt;0),VLOOKUP(G19,'2. AWARDS'!$C$9:$O$35,10,FALSE)*(1+O19)*(1+(Q19/9)),IF(AND(F19='2. AWARDS'!H12,N19=MAX(M19,P19),VLOOKUP(G19,'2. AWARDS'!$C$9:$O$35,10,FALSE)=0),W19*(1+O19)*(1+(Q19/9)),IF(AND(F19='2. AWARDS'!I12,N19=MAX(M19,P19),VLOOKUP(G19,'2. AWARDS'!$C$9:$O$35,11,FALSE)&lt;&gt;0),VLOOKUP(G19,'2. AWARDS'!$C$9:$O$35,11,FALSE)*(1+O19)*(1+(Q19/9)),IF(AND(F19='2. AWARDS'!I12,N19=MAX(M19,P19),VLOOKUP(G19,'2. AWARDS'!$C$9:$O$35,11,FALSE)=0),W19*(1+O19)*(1+(Q19/9)),IF(AND(F19='2. AWARDS'!J12,N19=MAX(M19,P19),VLOOKUP(G19,'2. AWARDS'!$C$9:$O$35,12,FALSE)&lt;&gt;0),VLOOKUP(G19,'2. AWARDS'!$C$9:$O$35,12,FALSE)*(1+O19)*(1+(Q19/9)),IF(AND(F19='2. AWARDS'!J12,N19=MAX(M19,P19),VLOOKUP(G19,'2. AWARDS'!$C$9:$O$35,12,FALSE)=0),W19*(1+O19)*(1+(Q19/9)),IF(AND(F19='2. AWARDS'!K12,N19=MAX(M19,P19),VLOOKUP(G19,'2. AWARDS'!$C$9:$O$35,13,FALSE)&lt;&gt;0),VLOOKUP(G19,'2. AWARDS'!$C$9:$O$35,13,FALSE)*(1+O19)*(1+(Q19/9)),IF(AND(F19='2. AWARDS'!K12,N19=MAX(M19,P19),VLOOKUP(G19,'2. AWARDS'!$C$9:$O$35,13,FALSE)=0),W19*(1+O19)*(1+(Q19/9)),IF(AND(N19&lt;M19,N19&lt;P19),W19*(1+O19),IF(AND(N19=M19,M19&lt;P19,F19='2. AWARDS'!G12),VLOOKUP(G19,'2. AWARDS'!$C$9:$O$35,9,FALSE)*(1+O19),IF(AND(N19=M19,M19&lt;P19,F19='2. AWARDS'!H12),VLOOKUP(G19,'2. AWARDS'!$C$9:$O$35,10,FALSE)*(1+O19),IF(AND(N19=M19,M19&lt;P19,F19='2. AWARDS'!I12),VLOOKUP(G19,'2. AWARDS'!$C$9:$O$35,11,FALSE)*(1+O19),IF(AND(N19=M19,M19&lt;P19,F19='2. AWARDS'!J12),VLOOKUP(G19,'2. AWARDS'!$C$9:$O$35,12,FALSE)*(1+O19),IF(AND(N19=M19,M19&lt;P19,F19='2. AWARDS'!K12),VLOOKUP(G19,'2. AWARDS'!$C$9:$O$35,13,FALSE)*(1+O19),IF(AND(N19=P19,M19&gt;P19),W19*(1+O19)*(1+(Q19/9)),IF(AND(F19='2. AWARDS'!G12,N19&gt;M19,N19&lt;P19,VLOOKUP(G19,'2. AWARDS'!$C$9:$O$35,9,FALSE)&lt;&gt;0),VLOOKUP(G19,'2. AWARDS'!$C$9:$O$35,9,FALSE)*(1+O19),IF(AND(F19='2. AWARDS'!H12,N19&gt;M19,N19&lt;P19,VLOOKUP(G19,'2. AWARDS'!$C$9:$O$35,10,FALSE)&lt;&gt;0),VLOOKUP(G19,'2. AWARDS'!$C$9:$O$35,10,FALSE)*(1+O19),IF(AND(F19='2. AWARDS'!I12,N19&gt;M19,N19&lt;P19,VLOOKUP(G19,'2. AWARDS'!$C$9:$O$35,11,FALSE)&lt;&gt;0),VLOOKUP(G19,'2. AWARDS'!$C$9:$O$35,11,FALSE)*(1+O19),IF(AND(F19='2. AWARDS'!J12,N19&gt;M19,N19&lt;P19,VLOOKUP(G19,'2. AWARDS'!$C$9:$O$35,12,FALSE)&lt;&gt;0),VLOOKUP(G19,'2. AWARDS'!$C$9:$O$35,12,FALSE)*(1+O19),IF(AND(F19='2. AWARDS'!K12,N19&gt;M19,N19&lt;P19,VLOOKUP(G19,'2. AWARDS'!$C$9:$O$35,13,FALSE)&lt;&gt;0),VLOOKUP(G19,'2. AWARDS'!$C$9:$O$35,13,FALSE)*(1+O19),W19*(1+O19))))))))))))))))))))))))))))))))))</f>
        <v>#N/A</v>
      </c>
      <c r="Z19" s="661" t="e">
        <f t="shared" si="4"/>
        <v>#N/A</v>
      </c>
      <c r="AA19" s="683"/>
      <c r="AB19" s="774"/>
      <c r="AC19" s="777"/>
      <c r="AD19" s="781" t="e">
        <f>HLOOKUP(F19,'2. AWARDS'!$F$7:$J$40,32,FALSE)/5*HLOOKUP(F19,'2. AWARDS'!$F$7:$J$40,31,FALSE)*MAX(V19:Z19)*L19*HLOOKUP(F19,'2. AWARDS'!$F$7:$J$40,34,FALSE)</f>
        <v>#N/A</v>
      </c>
      <c r="AE19" s="783" t="e">
        <f>((HLOOKUP(F19,'2. AWARDS'!$F$7:$J$42,36,FALSE)/HLOOKUP(F19,'2. AWARDS'!$F$7:$J$42,35,FALSE)*HLOOKUP(F19,'2. AWARDS'!$F$7:$J$45,39,FALSE))/(HLOOKUP(F19,'2. AWARDS'!$F$7:$J$45,31,FALSE)*2)*K19*L19*HLOOKUP(F19,'2. AWARDS'!$F$7:$J$45,31,FALSE)*MAX(V19:Z19))</f>
        <v>#N/A</v>
      </c>
      <c r="AF19" s="474"/>
      <c r="AG19" s="804"/>
      <c r="AH19" s="801"/>
      <c r="AI19" s="801"/>
      <c r="AJ19" s="802"/>
      <c r="AK19" s="805"/>
      <c r="AL19" s="836">
        <f>IF(AG19="YES",HLOOKUP(F19,'2. AWARDS'!$F$7:$J$38,32,FALSE)/5*HLOOKUP(F19,'2. AWARDS'!$F$7:$J$37,31,FALSE)*K19/(HLOOKUP(F19,'2. AWARDS'!$F$7:$J$37,31,FALSE)*2)*L19*MAX(V19:Z19)*(1+HLOOKUP(F19,'2. AWARDS'!$F$7:$J$43,37,FALSE))*(1-AJ19),0)</f>
        <v>0</v>
      </c>
      <c r="AM19" s="836">
        <f>IF(AH19="YES",HLOOKUP(F19,'2. AWARDS'!$F$7:$J$39,33,FALSE)/5*HLOOKUP(F19,'2. AWARDS'!$F$7:$J$37,31,FALSE)*K19/(HLOOKUP(F19,'2. AWARDS'!$F$7:$J$37,31,FALSE)*2)*L19*MAX(V19:Z19)*(1+HLOOKUP(F19,'2. AWARDS'!$F$7:$J$43,37,FALSE))*(1-AJ19),0)</f>
        <v>0</v>
      </c>
      <c r="AN19" s="838">
        <f>IF(AI19="YES",HLOOKUP(F19,'2. AWARDS'!$F$7:$J$47,40,FALSE)/5*HLOOKUP(F19,'2. AWARDS'!$F$7:$J$37,31,FALSE)*K19/(HLOOKUP(F19,'2. AWARDS'!$F$7:$J$37,31,FALSE)*2)*L19*MAX(V19:Z19)*(1+HLOOKUP(F19,'2. AWARDS'!$F$7:$J$43,37,FALSE))*(1-AJ19),0)</f>
        <v>0</v>
      </c>
      <c r="AO19" s="839" t="e">
        <f>(IF(AG19="YES",HLOOKUP(F19,'2. AWARDS'!$F$7:$J$39,32,FALSE),0)+IF(AH19="YES",HLOOKUP(F19,'2. AWARDS'!$F$7:$J$39,33,FALSE),0)+IF(AI19="YES",HLOOKUP(F19,'2. AWARDS'!$F$7:$J$47,40,FALSE),0))/5*(HLOOKUP(F19,'2. AWARDS'!$F$7:$J$39,31,FALSE)*2)*AJ19*AK19</f>
        <v>#N/A</v>
      </c>
      <c r="AP19" s="683"/>
      <c r="AQ19" s="802">
        <f>'1. KEY DATA'!J$29</f>
        <v>0</v>
      </c>
      <c r="AR19" s="822">
        <f>'1. KEY DATA'!J$30</f>
        <v>0.09</v>
      </c>
      <c r="AS19" s="502"/>
      <c r="AT19" s="478">
        <f t="shared" si="1"/>
        <v>0</v>
      </c>
      <c r="AV19" s="337" t="e">
        <f t="shared" si="5"/>
        <v>#DIV/0!</v>
      </c>
      <c r="AW19" s="334" t="e">
        <f t="shared" si="2"/>
        <v>#DIV/0!</v>
      </c>
      <c r="AX19" s="334" t="e">
        <f t="shared" si="2"/>
        <v>#DIV/0!</v>
      </c>
      <c r="AY19" s="334" t="e">
        <f t="shared" si="2"/>
        <v>#DIV/0!</v>
      </c>
      <c r="AZ19" s="338" t="e">
        <f t="shared" si="2"/>
        <v>#DIV/0!</v>
      </c>
      <c r="BA19" s="342" t="e">
        <f t="shared" si="6"/>
        <v>#DIV/0!</v>
      </c>
      <c r="BC19" s="587"/>
      <c r="BD19" s="59"/>
      <c r="BE19" s="352">
        <f t="shared" si="7"/>
        <v>0</v>
      </c>
      <c r="BF19" s="128"/>
      <c r="BG19" s="346">
        <f>'8. PROGRAM PRICING'!$D$22</f>
        <v>0</v>
      </c>
      <c r="BH19" s="347">
        <f>'8. PROGRAM PRICING'!$D$23</f>
        <v>0</v>
      </c>
      <c r="BI19" s="130"/>
      <c r="BJ19" s="352">
        <f t="shared" si="8"/>
        <v>0</v>
      </c>
      <c r="BK19" s="426"/>
    </row>
    <row r="20" spans="2:66" s="9" customFormat="1">
      <c r="B20" s="14">
        <v>7</v>
      </c>
      <c r="C20" s="583" t="s">
        <v>70</v>
      </c>
      <c r="D20" s="896"/>
      <c r="E20" s="699">
        <f t="shared" si="3"/>
        <v>0</v>
      </c>
      <c r="F20" s="626"/>
      <c r="G20" s="652"/>
      <c r="H20" s="702"/>
      <c r="I20" s="693"/>
      <c r="J20" s="694"/>
      <c r="K20" s="1087"/>
      <c r="L20" s="689"/>
      <c r="M20" s="629"/>
      <c r="N20" s="629"/>
      <c r="O20" s="638">
        <f t="shared" si="9"/>
        <v>0.03</v>
      </c>
      <c r="P20" s="629"/>
      <c r="Q20" s="673" t="str">
        <f t="shared" si="0"/>
        <v>-</v>
      </c>
      <c r="R20" s="649"/>
      <c r="S20" s="647"/>
      <c r="T20" s="827"/>
      <c r="U20" s="670"/>
      <c r="V20" s="798">
        <f t="shared" si="10"/>
        <v>0</v>
      </c>
      <c r="W20" s="656">
        <f>IF(OR(F20=0,G20=0),0,IF(F20='2. AWARDS'!G$7,VLOOKUP(G20,'2. AWARDS'!$C$9:$F$35,4,FALSE),IF(F20='2. AWARDS'!H$7,VLOOKUP(G20,'2. AWARDS'!$C$9:$G$35,5,FALSE),IF(F20='2. AWARDS'!I$7,VLOOKUP(G20,'2. AWARDS'!$C$9:$H$35,6,FALSE),IF(F20='2. AWARDS'!J$7,VLOOKUP(G20,'2. AWARDS'!$C$9:$I$35,7,FALSE),VLOOKUP(G20,'2. AWARDS'!$C$9:$J$35,8,FALSE))))))</f>
        <v>0</v>
      </c>
      <c r="X20" s="657">
        <f>IF(OR(F20=0,G20=0),0,IF(AND(M20=0,F20='2. AWARDS'!F$7,VLOOKUP(G20,'2. AWARDS'!$C$9:$O$35,9,FALSE)&lt;&gt;0),"date missing",IF(AND(M20=0,F20='2. AWARDS'!G$7,VLOOKUP(G20,'2. AWARDS'!$C$9:$O$35,10,FALSE)&lt;&gt;0),"date missing",IF(AND(M20=0,F20='2. AWARDS'!H$7,VLOOKUP(G20,'2. AWARDS'!$C$9:$O$35,11,FALSE)&lt;&gt;0),"date missing",IF(AND(M20=0,F20='2. AWARDS'!I$7,VLOOKUP(G20,'2. AWARDS'!$C$9:$O$35,12,FALSE)&lt;&gt;0),"date missing",IF(AND(M20=0,F20='2. AWARDS'!J$7,VLOOKUP(G20,'2. AWARDS'!$C$9:$O$35,13,FALSE)&lt;&gt;0),"date missing",IF(M20=0,0,IF(OR(M20=MIN(N20,P20),AND(M20&lt;N20,M20&lt;P20,M20&gt;0)),IF(F20='2. AWARDS'!G$7,VLOOKUP(G20,'2. AWARDS'!$C$9:$O$35,9,FALSE),IF(F20='2. AWARDS'!H$7,VLOOKUP(G20,'2. AWARDS'!$C$9:$O$35,10,FALSE),IF(F20='2. AWARDS'!I$7,VLOOKUP(G20,'2. AWARDS'!$C$9:$O$35,11,FALSE),IF(F20='2. AWARDS'!J$7,VLOOKUP(G20,'2. AWARDS'!$C$9:$O$35,12,FALSE),IF(F20='2. AWARDS'!J$7,VLOOKUP(G20,'2. AWARDS'!$C$9:$O$35,13,FALSE)))))),IF(AND(M20&gt;N20,M20&lt;P20),IF(F20='2. AWARDS'!F$7,(1+O20)*VLOOKUP(G20,'2. AWARDS'!$C$9:$O$35,9,FALSE),IF(F20='2. AWARDS'!G$7,(1+O20)*VLOOKUP(G20,'2. AWARDS'!$C$9:$O$35,10,FALSE),IF(F20='2. AWARDS'!H$7,(1+O20)*VLOOKUP(G20,'2. AWARDS'!$C$9:$O$35,11,FALSE),IF(F20='2. AWARDS'!I$7,(1+O20)*VLOOKUP(G20,'2. AWARDS'!$C$9:$O$35,12,FALSE),IF(F20='2. AWARDS'!J$7,(1+O20)*VLOOKUP(G20,'2. AWARDS'!$C$9:$O$35,13,FALSE)))))),IF(AND(M20&lt;N20,M20&gt;P20),IF(F20='2. AWARDS'!F$7,(1+(Q20/9))*VLOOKUP(G20,'2. AWARDS'!$C$9:$O$35,9,FALSE),IF(F20='2. AWARDS'!G$7,(1+(Q20/9))*VLOOKUP(G20,'2. AWARDS'!$C$9:$O$35,10,FALSE),IF(F20='2. AWARDS'!H$7,(1+(Q20/9))*VLOOKUP(G20,'2. AWARDS'!$C$9:$O$35,11,FALSE),IF(F20='2. AWARDS'!I$7,(1+(Q20/9))*VLOOKUP(G20,'2. AWARDS'!$C$9:$O$35,12,FALSE),IF(F20='2. AWARDS'!J$7,(1+(Q20/9))*VLOOKUP(G20,'2. AWARDS'!$C$9:$O$35,13,FALSE)))))),IF(OR(M20=MAX(N20,P20),AND(M20&gt;N20,M20&gt;P20)),IF(F20='2. AWARDS'!F$7,((1+(Q20/9))*(1+O20))*VLOOKUP(G20,'2. AWARDS'!$C$9:$O$35,9,FALSE),IF(F20='2. AWARDS'!G$7,((1+(Q20/9))*(1+O20))*VLOOKUP(G20,'2. AWARDS'!$C$9:$O$35,10,FALSE),IF(F20='2. AWARDS'!H$7,((1+(Q20/9))*(1+O20))*VLOOKUP(G20,'2. AWARDS'!$C$9:$O$35,11,FALSE),IF(F20='2. AWARDS'!I$7,((1+(Q20/9))*(1+O20))*VLOOKUP(G20,'2. AWARDS'!$C$9:$O$35,12,FALSE),IF(F20='2. AWARDS'!J$7,((1+(Q20/9))*(1+O20))*VLOOKUP(G20,'2. AWARDS'!$C$9:$O$35,13,FALSE)))))),"?")))))))))))</f>
        <v>0</v>
      </c>
      <c r="Y20" s="656" t="e">
        <f>IF(AND(F20='2. AWARDS'!G13,N20&gt;M20,N20&gt;P20,VLOOKUP(G20,'2. AWARDS'!$C$9:$O$35,9,FALSE)&lt;&gt;0),VLOOKUP(G20,'2. AWARDS'!$C$9:$O$35,9,FALSE)*(1+O20)*(1+(Q20/9)),IF(AND(F20='2. AWARDS'!G13,N20&gt;M20,N20&gt;P20,VLOOKUP(G20,'2. AWARDS'!$C$9:$O$35,9,FALSE)=0),W20*(1+O20)*(1+(Q20/9)),IF(AND(F20='2. AWARDS'!H13,N20&gt;M20,N20&gt;P20,VLOOKUP(G20,'2. AWARDS'!$C$9:$O$35,10,FALSE)&lt;&gt;0),VLOOKUP(G20,'2. AWARDS'!$C$9:$O$35,10,FALSE)*(1+O20)*(1+(Q20/9)),IF(AND(F20='2. AWARDS'!H13,N20&gt;M20,N20&gt;P20,VLOOKUP(G20,'2. AWARDS'!$C$9:$O$35,10,FALSE)=0),W20*(1+O20)*(1+(Q20/9)),IF(AND(F20='2. AWARDS'!I13,N20&gt;M20,N20&gt;P20,VLOOKUP(G20,'2. AWARDS'!$C$9:$O$35,11,FALSE)&lt;&gt;0),VLOOKUP(G20,'2. AWARDS'!$C$9:$O$35,11,FALSE)*(1+O20)*(1+(Q20/9)),IF(AND(F20='2. AWARDS'!I13,N20&gt;M20,N20&gt;P20,VLOOKUP(G20,'2. AWARDS'!$C$9:$O$35,11,FALSE)=0),W20*(1+O20)*(1+(Q20/9)),IF(AND(F20='2. AWARDS'!J13,N20&gt;M20,N20&gt;P20,VLOOKUP(G20,'2. AWARDS'!$C$9:$O$35,12,FALSE)&lt;&gt;0),VLOOKUP(G20,'2. AWARDS'!$C$9:$O$35,12,FALSE)*(1+O20)*(1+(Q20/9)),IF(AND(F20='2. AWARDS'!J13,N20&gt;M20,N20&gt;P20,VLOOKUP(G20,'2. AWARDS'!$C$9:$O$35,12,FALSE)=0),W20*(1+O20)*(1+(Q20/9)),IF(AND(F20='2. AWARDS'!K13,N20&gt;M20,N20&gt;P20,VLOOKUP(G20,'2. AWARDS'!$C$9:$O$35,13,FALSE)&lt;&gt;0),VLOOKUP(G20,'2. AWARDS'!$C$9:$O$35,13,FALSE)*(1+O20)*(1+(Q20/9)),IF(AND(F20='2. AWARDS'!K13,N20&gt;M20,N20&gt;P20,VLOOKUP(G20,'2. AWARDS'!$C$9:$O$35,13,FALSE)=0),W20*(1+O20)*(1+(Q20/9)),IF(AND(N20&lt;M20,N20&gt;P20),W20*(1+O20)*(1+(Q20/9)),IF(AND(F20='2. AWARDS'!G13,N20=MAX(M20,P20),VLOOKUP(G20,'2. AWARDS'!$C$9:$O$35,9,FALSE)&lt;&gt;0),VLOOKUP(G20,'2. AWARDS'!$C$9:$O$35,9,FALSE)*(1+O20)*(1+(Q20/9)),IF(AND(F20='2. AWARDS'!G13,N20=MAX(M20,P20),VLOOKUP(G20,'2. AWARDS'!$C$9:$O$35,9,FALSE)=0),W20*(1+O20)*(1+(Q20/9)),IF(AND(F20='2. AWARDS'!H13,N20=MAX(M20,P20),VLOOKUP(G20,'2. AWARDS'!$C$9:$O$35,10,FALSE)&lt;&gt;0),VLOOKUP(G20,'2. AWARDS'!$C$9:$O$35,10,FALSE)*(1+O20)*(1+(Q20/9)),IF(AND(F20='2. AWARDS'!H13,N20=MAX(M20,P20),VLOOKUP(G20,'2. AWARDS'!$C$9:$O$35,10,FALSE)=0),W20*(1+O20)*(1+(Q20/9)),IF(AND(F20='2. AWARDS'!I13,N20=MAX(M20,P20),VLOOKUP(G20,'2. AWARDS'!$C$9:$O$35,11,FALSE)&lt;&gt;0),VLOOKUP(G20,'2. AWARDS'!$C$9:$O$35,11,FALSE)*(1+O20)*(1+(Q20/9)),IF(AND(F20='2. AWARDS'!I13,N20=MAX(M20,P20),VLOOKUP(G20,'2. AWARDS'!$C$9:$O$35,11,FALSE)=0),W20*(1+O20)*(1+(Q20/9)),IF(AND(F20='2. AWARDS'!J13,N20=MAX(M20,P20),VLOOKUP(G20,'2. AWARDS'!$C$9:$O$35,12,FALSE)&lt;&gt;0),VLOOKUP(G20,'2. AWARDS'!$C$9:$O$35,12,FALSE)*(1+O20)*(1+(Q20/9)),IF(AND(F20='2. AWARDS'!J13,N20=MAX(M20,P20),VLOOKUP(G20,'2. AWARDS'!$C$9:$O$35,12,FALSE)=0),W20*(1+O20)*(1+(Q20/9)),IF(AND(F20='2. AWARDS'!K13,N20=MAX(M20,P20),VLOOKUP(G20,'2. AWARDS'!$C$9:$O$35,13,FALSE)&lt;&gt;0),VLOOKUP(G20,'2. AWARDS'!$C$9:$O$35,13,FALSE)*(1+O20)*(1+(Q20/9)),IF(AND(F20='2. AWARDS'!K13,N20=MAX(M20,P20),VLOOKUP(G20,'2. AWARDS'!$C$9:$O$35,13,FALSE)=0),W20*(1+O20)*(1+(Q20/9)),IF(AND(N20&lt;M20,N20&lt;P20),W20*(1+O20),IF(AND(N20=M20,M20&lt;P20,F20='2. AWARDS'!G13),VLOOKUP(G20,'2. AWARDS'!$C$9:$O$35,9,FALSE)*(1+O20),IF(AND(N20=M20,M20&lt;P20,F20='2. AWARDS'!H13),VLOOKUP(G20,'2. AWARDS'!$C$9:$O$35,10,FALSE)*(1+O20),IF(AND(N20=M20,M20&lt;P20,F20='2. AWARDS'!I13),VLOOKUP(G20,'2. AWARDS'!$C$9:$O$35,11,FALSE)*(1+O20),IF(AND(N20=M20,M20&lt;P20,F20='2. AWARDS'!J13),VLOOKUP(G20,'2. AWARDS'!$C$9:$O$35,12,FALSE)*(1+O20),IF(AND(N20=M20,M20&lt;P20,F20='2. AWARDS'!K13),VLOOKUP(G20,'2. AWARDS'!$C$9:$O$35,13,FALSE)*(1+O20),IF(AND(N20=P20,M20&gt;P20),W20*(1+O20)*(1+(Q20/9)),IF(AND(F20='2. AWARDS'!G13,N20&gt;M20,N20&lt;P20,VLOOKUP(G20,'2. AWARDS'!$C$9:$O$35,9,FALSE)&lt;&gt;0),VLOOKUP(G20,'2. AWARDS'!$C$9:$O$35,9,FALSE)*(1+O20),IF(AND(F20='2. AWARDS'!H13,N20&gt;M20,N20&lt;P20,VLOOKUP(G20,'2. AWARDS'!$C$9:$O$35,10,FALSE)&lt;&gt;0),VLOOKUP(G20,'2. AWARDS'!$C$9:$O$35,10,FALSE)*(1+O20),IF(AND(F20='2. AWARDS'!I13,N20&gt;M20,N20&lt;P20,VLOOKUP(G20,'2. AWARDS'!$C$9:$O$35,11,FALSE)&lt;&gt;0),VLOOKUP(G20,'2. AWARDS'!$C$9:$O$35,11,FALSE)*(1+O20),IF(AND(F20='2. AWARDS'!J13,N20&gt;M20,N20&lt;P20,VLOOKUP(G20,'2. AWARDS'!$C$9:$O$35,12,FALSE)&lt;&gt;0),VLOOKUP(G20,'2. AWARDS'!$C$9:$O$35,12,FALSE)*(1+O20),IF(AND(F20='2. AWARDS'!K13,N20&gt;M20,N20&lt;P20,VLOOKUP(G20,'2. AWARDS'!$C$9:$O$35,13,FALSE)&lt;&gt;0),VLOOKUP(G20,'2. AWARDS'!$C$9:$O$35,13,FALSE)*(1+O20),W20*(1+O20))))))))))))))))))))))))))))))))))</f>
        <v>#N/A</v>
      </c>
      <c r="Z20" s="661" t="e">
        <f t="shared" si="4"/>
        <v>#N/A</v>
      </c>
      <c r="AA20" s="683"/>
      <c r="AB20" s="774"/>
      <c r="AC20" s="777"/>
      <c r="AD20" s="781" t="e">
        <f>HLOOKUP(F20,'2. AWARDS'!$F$7:$J$40,32,FALSE)/5*HLOOKUP(F20,'2. AWARDS'!$F$7:$J$40,31,FALSE)*MAX(V20:Z20)*L20*HLOOKUP(F20,'2. AWARDS'!$F$7:$J$40,34,FALSE)</f>
        <v>#N/A</v>
      </c>
      <c r="AE20" s="783" t="e">
        <f>((HLOOKUP(F20,'2. AWARDS'!$F$7:$J$42,36,FALSE)/HLOOKUP(F20,'2. AWARDS'!$F$7:$J$42,35,FALSE)*HLOOKUP(F20,'2. AWARDS'!$F$7:$J$45,39,FALSE))/(HLOOKUP(F20,'2. AWARDS'!$F$7:$J$45,31,FALSE)*2)*K20*L20*HLOOKUP(F20,'2. AWARDS'!$F$7:$J$45,31,FALSE)*MAX(V20:Z20))</f>
        <v>#N/A</v>
      </c>
      <c r="AF20" s="474"/>
      <c r="AG20" s="804"/>
      <c r="AH20" s="801"/>
      <c r="AI20" s="801"/>
      <c r="AJ20" s="802"/>
      <c r="AK20" s="805"/>
      <c r="AL20" s="836">
        <f>IF(AG20="YES",HLOOKUP(F20,'2. AWARDS'!$F$7:$J$38,32,FALSE)/5*HLOOKUP(F20,'2. AWARDS'!$F$7:$J$37,31,FALSE)*K20/(HLOOKUP(F20,'2. AWARDS'!$F$7:$J$37,31,FALSE)*2)*L20*MAX(V20:Z20)*(1+HLOOKUP(F20,'2. AWARDS'!$F$7:$J$43,37,FALSE))*(1-AJ20),0)</f>
        <v>0</v>
      </c>
      <c r="AM20" s="836">
        <f>IF(AH20="YES",HLOOKUP(F20,'2. AWARDS'!$F$7:$J$39,33,FALSE)/5*HLOOKUP(F20,'2. AWARDS'!$F$7:$J$37,31,FALSE)*K20/(HLOOKUP(F20,'2. AWARDS'!$F$7:$J$37,31,FALSE)*2)*L20*MAX(V20:Z20)*(1+HLOOKUP(F20,'2. AWARDS'!$F$7:$J$43,37,FALSE))*(1-AJ20),0)</f>
        <v>0</v>
      </c>
      <c r="AN20" s="838">
        <f>IF(AI20="YES",HLOOKUP(F20,'2. AWARDS'!$F$7:$J$47,40,FALSE)/5*HLOOKUP(F20,'2. AWARDS'!$F$7:$J$37,31,FALSE)*K20/(HLOOKUP(F20,'2. AWARDS'!$F$7:$J$37,31,FALSE)*2)*L20*MAX(V20:Z20)*(1+HLOOKUP(F20,'2. AWARDS'!$F$7:$J$43,37,FALSE))*(1-AJ20),0)</f>
        <v>0</v>
      </c>
      <c r="AO20" s="839" t="e">
        <f>(IF(AG20="YES",HLOOKUP(F20,'2. AWARDS'!$F$7:$J$39,32,FALSE),0)+IF(AH20="YES",HLOOKUP(F20,'2. AWARDS'!$F$7:$J$39,33,FALSE),0)+IF(AI20="YES",HLOOKUP(F20,'2. AWARDS'!$F$7:$J$47,40,FALSE),0))/5*(HLOOKUP(F20,'2. AWARDS'!$F$7:$J$39,31,FALSE)*2)*AJ20*AK20</f>
        <v>#N/A</v>
      </c>
      <c r="AP20" s="683"/>
      <c r="AQ20" s="802">
        <f>'1. KEY DATA'!J$29</f>
        <v>0</v>
      </c>
      <c r="AR20" s="822">
        <f>'1. KEY DATA'!J$30</f>
        <v>0.09</v>
      </c>
      <c r="AS20" s="502"/>
      <c r="AT20" s="478">
        <f t="shared" si="1"/>
        <v>0</v>
      </c>
      <c r="AV20" s="337" t="e">
        <f t="shared" si="5"/>
        <v>#DIV/0!</v>
      </c>
      <c r="AW20" s="334" t="e">
        <f t="shared" si="2"/>
        <v>#DIV/0!</v>
      </c>
      <c r="AX20" s="334" t="e">
        <f t="shared" si="2"/>
        <v>#DIV/0!</v>
      </c>
      <c r="AY20" s="334" t="e">
        <f t="shared" si="2"/>
        <v>#DIV/0!</v>
      </c>
      <c r="AZ20" s="338" t="e">
        <f t="shared" si="2"/>
        <v>#DIV/0!</v>
      </c>
      <c r="BA20" s="342" t="e">
        <f t="shared" si="6"/>
        <v>#DIV/0!</v>
      </c>
      <c r="BC20" s="587"/>
      <c r="BD20" s="59"/>
      <c r="BE20" s="352">
        <f t="shared" si="7"/>
        <v>0</v>
      </c>
      <c r="BF20" s="128"/>
      <c r="BG20" s="346">
        <f>'8. PROGRAM PRICING'!$D$22</f>
        <v>0</v>
      </c>
      <c r="BH20" s="347">
        <f>'8. PROGRAM PRICING'!$D$23</f>
        <v>0</v>
      </c>
      <c r="BI20" s="130"/>
      <c r="BJ20" s="352">
        <f t="shared" si="8"/>
        <v>0</v>
      </c>
      <c r="BK20" s="426"/>
    </row>
    <row r="21" spans="2:66" s="9" customFormat="1">
      <c r="B21" s="14">
        <v>8</v>
      </c>
      <c r="C21" s="583" t="s">
        <v>70</v>
      </c>
      <c r="D21" s="896"/>
      <c r="E21" s="699">
        <f t="shared" si="3"/>
        <v>0</v>
      </c>
      <c r="F21" s="626"/>
      <c r="G21" s="652"/>
      <c r="H21" s="702"/>
      <c r="I21" s="693"/>
      <c r="J21" s="694"/>
      <c r="K21" s="1087"/>
      <c r="L21" s="689"/>
      <c r="M21" s="629"/>
      <c r="N21" s="629"/>
      <c r="O21" s="638">
        <f t="shared" si="9"/>
        <v>0.03</v>
      </c>
      <c r="P21" s="629"/>
      <c r="Q21" s="673" t="str">
        <f t="shared" si="0"/>
        <v>-</v>
      </c>
      <c r="R21" s="649"/>
      <c r="S21" s="647"/>
      <c r="T21" s="827"/>
      <c r="U21" s="670"/>
      <c r="V21" s="798">
        <f t="shared" si="10"/>
        <v>0</v>
      </c>
      <c r="W21" s="656">
        <f>IF(OR(F21=0,G21=0),0,IF(F21='2. AWARDS'!G$7,VLOOKUP(G21,'2. AWARDS'!$C$9:$F$35,4,FALSE),IF(F21='2. AWARDS'!H$7,VLOOKUP(G21,'2. AWARDS'!$C$9:$G$35,5,FALSE),IF(F21='2. AWARDS'!I$7,VLOOKUP(G21,'2. AWARDS'!$C$9:$H$35,6,FALSE),IF(F21='2. AWARDS'!J$7,VLOOKUP(G21,'2. AWARDS'!$C$9:$I$35,7,FALSE),VLOOKUP(G21,'2. AWARDS'!$C$9:$J$35,8,FALSE))))))</f>
        <v>0</v>
      </c>
      <c r="X21" s="657">
        <f>IF(OR(F21=0,G21=0),0,IF(AND(M21=0,F21='2. AWARDS'!F$7,VLOOKUP(G21,'2. AWARDS'!$C$9:$O$35,9,FALSE)&lt;&gt;0),"date missing",IF(AND(M21=0,F21='2. AWARDS'!G$7,VLOOKUP(G21,'2. AWARDS'!$C$9:$O$35,10,FALSE)&lt;&gt;0),"date missing",IF(AND(M21=0,F21='2. AWARDS'!H$7,VLOOKUP(G21,'2. AWARDS'!$C$9:$O$35,11,FALSE)&lt;&gt;0),"date missing",IF(AND(M21=0,F21='2. AWARDS'!I$7,VLOOKUP(G21,'2. AWARDS'!$C$9:$O$35,12,FALSE)&lt;&gt;0),"date missing",IF(AND(M21=0,F21='2. AWARDS'!J$7,VLOOKUP(G21,'2. AWARDS'!$C$9:$O$35,13,FALSE)&lt;&gt;0),"date missing",IF(M21=0,0,IF(OR(M21=MIN(N21,P21),AND(M21&lt;N21,M21&lt;P21,M21&gt;0)),IF(F21='2. AWARDS'!G$7,VLOOKUP(G21,'2. AWARDS'!$C$9:$O$35,9,FALSE),IF(F21='2. AWARDS'!H$7,VLOOKUP(G21,'2. AWARDS'!$C$9:$O$35,10,FALSE),IF(F21='2. AWARDS'!I$7,VLOOKUP(G21,'2. AWARDS'!$C$9:$O$35,11,FALSE),IF(F21='2. AWARDS'!J$7,VLOOKUP(G21,'2. AWARDS'!$C$9:$O$35,12,FALSE),IF(F21='2. AWARDS'!J$7,VLOOKUP(G21,'2. AWARDS'!$C$9:$O$35,13,FALSE)))))),IF(AND(M21&gt;N21,M21&lt;P21),IF(F21='2. AWARDS'!F$7,(1+O21)*VLOOKUP(G21,'2. AWARDS'!$C$9:$O$35,9,FALSE),IF(F21='2. AWARDS'!G$7,(1+O21)*VLOOKUP(G21,'2. AWARDS'!$C$9:$O$35,10,FALSE),IF(F21='2. AWARDS'!H$7,(1+O21)*VLOOKUP(G21,'2. AWARDS'!$C$9:$O$35,11,FALSE),IF(F21='2. AWARDS'!I$7,(1+O21)*VLOOKUP(G21,'2. AWARDS'!$C$9:$O$35,12,FALSE),IF(F21='2. AWARDS'!J$7,(1+O21)*VLOOKUP(G21,'2. AWARDS'!$C$9:$O$35,13,FALSE)))))),IF(AND(M21&lt;N21,M21&gt;P21),IF(F21='2. AWARDS'!F$7,(1+(Q21/9))*VLOOKUP(G21,'2. AWARDS'!$C$9:$O$35,9,FALSE),IF(F21='2. AWARDS'!G$7,(1+(Q21/9))*VLOOKUP(G21,'2. AWARDS'!$C$9:$O$35,10,FALSE),IF(F21='2. AWARDS'!H$7,(1+(Q21/9))*VLOOKUP(G21,'2. AWARDS'!$C$9:$O$35,11,FALSE),IF(F21='2. AWARDS'!I$7,(1+(Q21/9))*VLOOKUP(G21,'2. AWARDS'!$C$9:$O$35,12,FALSE),IF(F21='2. AWARDS'!J$7,(1+(Q21/9))*VLOOKUP(G21,'2. AWARDS'!$C$9:$O$35,13,FALSE)))))),IF(OR(M21=MAX(N21,P21),AND(M21&gt;N21,M21&gt;P21)),IF(F21='2. AWARDS'!F$7,((1+(Q21/9))*(1+O21))*VLOOKUP(G21,'2. AWARDS'!$C$9:$O$35,9,FALSE),IF(F21='2. AWARDS'!G$7,((1+(Q21/9))*(1+O21))*VLOOKUP(G21,'2. AWARDS'!$C$9:$O$35,10,FALSE),IF(F21='2. AWARDS'!H$7,((1+(Q21/9))*(1+O21))*VLOOKUP(G21,'2. AWARDS'!$C$9:$O$35,11,FALSE),IF(F21='2. AWARDS'!I$7,((1+(Q21/9))*(1+O21))*VLOOKUP(G21,'2. AWARDS'!$C$9:$O$35,12,FALSE),IF(F21='2. AWARDS'!J$7,((1+(Q21/9))*(1+O21))*VLOOKUP(G21,'2. AWARDS'!$C$9:$O$35,13,FALSE)))))),"?")))))))))))</f>
        <v>0</v>
      </c>
      <c r="Y21" s="656" t="e">
        <f>IF(AND(F21='2. AWARDS'!G14,N21&gt;M21,N21&gt;P21,VLOOKUP(G21,'2. AWARDS'!$C$9:$O$35,9,FALSE)&lt;&gt;0),VLOOKUP(G21,'2. AWARDS'!$C$9:$O$35,9,FALSE)*(1+O21)*(1+(Q21/9)),IF(AND(F21='2. AWARDS'!G14,N21&gt;M21,N21&gt;P21,VLOOKUP(G21,'2. AWARDS'!$C$9:$O$35,9,FALSE)=0),W21*(1+O21)*(1+(Q21/9)),IF(AND(F21='2. AWARDS'!H14,N21&gt;M21,N21&gt;P21,VLOOKUP(G21,'2. AWARDS'!$C$9:$O$35,10,FALSE)&lt;&gt;0),VLOOKUP(G21,'2. AWARDS'!$C$9:$O$35,10,FALSE)*(1+O21)*(1+(Q21/9)),IF(AND(F21='2. AWARDS'!H14,N21&gt;M21,N21&gt;P21,VLOOKUP(G21,'2. AWARDS'!$C$9:$O$35,10,FALSE)=0),W21*(1+O21)*(1+(Q21/9)),IF(AND(F21='2. AWARDS'!I14,N21&gt;M21,N21&gt;P21,VLOOKUP(G21,'2. AWARDS'!$C$9:$O$35,11,FALSE)&lt;&gt;0),VLOOKUP(G21,'2. AWARDS'!$C$9:$O$35,11,FALSE)*(1+O21)*(1+(Q21/9)),IF(AND(F21='2. AWARDS'!I14,N21&gt;M21,N21&gt;P21,VLOOKUP(G21,'2. AWARDS'!$C$9:$O$35,11,FALSE)=0),W21*(1+O21)*(1+(Q21/9)),IF(AND(F21='2. AWARDS'!J14,N21&gt;M21,N21&gt;P21,VLOOKUP(G21,'2. AWARDS'!$C$9:$O$35,12,FALSE)&lt;&gt;0),VLOOKUP(G21,'2. AWARDS'!$C$9:$O$35,12,FALSE)*(1+O21)*(1+(Q21/9)),IF(AND(F21='2. AWARDS'!J14,N21&gt;M21,N21&gt;P21,VLOOKUP(G21,'2. AWARDS'!$C$9:$O$35,12,FALSE)=0),W21*(1+O21)*(1+(Q21/9)),IF(AND(F21='2. AWARDS'!K14,N21&gt;M21,N21&gt;P21,VLOOKUP(G21,'2. AWARDS'!$C$9:$O$35,13,FALSE)&lt;&gt;0),VLOOKUP(G21,'2. AWARDS'!$C$9:$O$35,13,FALSE)*(1+O21)*(1+(Q21/9)),IF(AND(F21='2. AWARDS'!K14,N21&gt;M21,N21&gt;P21,VLOOKUP(G21,'2. AWARDS'!$C$9:$O$35,13,FALSE)=0),W21*(1+O21)*(1+(Q21/9)),IF(AND(N21&lt;M21,N21&gt;P21),W21*(1+O21)*(1+(Q21/9)),IF(AND(F21='2. AWARDS'!G14,N21=MAX(M21,P21),VLOOKUP(G21,'2. AWARDS'!$C$9:$O$35,9,FALSE)&lt;&gt;0),VLOOKUP(G21,'2. AWARDS'!$C$9:$O$35,9,FALSE)*(1+O21)*(1+(Q21/9)),IF(AND(F21='2. AWARDS'!G14,N21=MAX(M21,P21),VLOOKUP(G21,'2. AWARDS'!$C$9:$O$35,9,FALSE)=0),W21*(1+O21)*(1+(Q21/9)),IF(AND(F21='2. AWARDS'!H14,N21=MAX(M21,P21),VLOOKUP(G21,'2. AWARDS'!$C$9:$O$35,10,FALSE)&lt;&gt;0),VLOOKUP(G21,'2. AWARDS'!$C$9:$O$35,10,FALSE)*(1+O21)*(1+(Q21/9)),IF(AND(F21='2. AWARDS'!H14,N21=MAX(M21,P21),VLOOKUP(G21,'2. AWARDS'!$C$9:$O$35,10,FALSE)=0),W21*(1+O21)*(1+(Q21/9)),IF(AND(F21='2. AWARDS'!I14,N21=MAX(M21,P21),VLOOKUP(G21,'2. AWARDS'!$C$9:$O$35,11,FALSE)&lt;&gt;0),VLOOKUP(G21,'2. AWARDS'!$C$9:$O$35,11,FALSE)*(1+O21)*(1+(Q21/9)),IF(AND(F21='2. AWARDS'!I14,N21=MAX(M21,P21),VLOOKUP(G21,'2. AWARDS'!$C$9:$O$35,11,FALSE)=0),W21*(1+O21)*(1+(Q21/9)),IF(AND(F21='2. AWARDS'!J14,N21=MAX(M21,P21),VLOOKUP(G21,'2. AWARDS'!$C$9:$O$35,12,FALSE)&lt;&gt;0),VLOOKUP(G21,'2. AWARDS'!$C$9:$O$35,12,FALSE)*(1+O21)*(1+(Q21/9)),IF(AND(F21='2. AWARDS'!J14,N21=MAX(M21,P21),VLOOKUP(G21,'2. AWARDS'!$C$9:$O$35,12,FALSE)=0),W21*(1+O21)*(1+(Q21/9)),IF(AND(F21='2. AWARDS'!K14,N21=MAX(M21,P21),VLOOKUP(G21,'2. AWARDS'!$C$9:$O$35,13,FALSE)&lt;&gt;0),VLOOKUP(G21,'2. AWARDS'!$C$9:$O$35,13,FALSE)*(1+O21)*(1+(Q21/9)),IF(AND(F21='2. AWARDS'!K14,N21=MAX(M21,P21),VLOOKUP(G21,'2. AWARDS'!$C$9:$O$35,13,FALSE)=0),W21*(1+O21)*(1+(Q21/9)),IF(AND(N21&lt;M21,N21&lt;P21),W21*(1+O21),IF(AND(N21=M21,M21&lt;P21,F21='2. AWARDS'!G14),VLOOKUP(G21,'2. AWARDS'!$C$9:$O$35,9,FALSE)*(1+O21),IF(AND(N21=M21,M21&lt;P21,F21='2. AWARDS'!H14),VLOOKUP(G21,'2. AWARDS'!$C$9:$O$35,10,FALSE)*(1+O21),IF(AND(N21=M21,M21&lt;P21,F21='2. AWARDS'!I14),VLOOKUP(G21,'2. AWARDS'!$C$9:$O$35,11,FALSE)*(1+O21),IF(AND(N21=M21,M21&lt;P21,F21='2. AWARDS'!J14),VLOOKUP(G21,'2. AWARDS'!$C$9:$O$35,12,FALSE)*(1+O21),IF(AND(N21=M21,M21&lt;P21,F21='2. AWARDS'!K14),VLOOKUP(G21,'2. AWARDS'!$C$9:$O$35,13,FALSE)*(1+O21),IF(AND(N21=P21,M21&gt;P21),W21*(1+O21)*(1+(Q21/9)),IF(AND(F21='2. AWARDS'!G14,N21&gt;M21,N21&lt;P21,VLOOKUP(G21,'2. AWARDS'!$C$9:$O$35,9,FALSE)&lt;&gt;0),VLOOKUP(G21,'2. AWARDS'!$C$9:$O$35,9,FALSE)*(1+O21),IF(AND(F21='2. AWARDS'!H14,N21&gt;M21,N21&lt;P21,VLOOKUP(G21,'2. AWARDS'!$C$9:$O$35,10,FALSE)&lt;&gt;0),VLOOKUP(G21,'2. AWARDS'!$C$9:$O$35,10,FALSE)*(1+O21),IF(AND(F21='2. AWARDS'!I14,N21&gt;M21,N21&lt;P21,VLOOKUP(G21,'2. AWARDS'!$C$9:$O$35,11,FALSE)&lt;&gt;0),VLOOKUP(G21,'2. AWARDS'!$C$9:$O$35,11,FALSE)*(1+O21),IF(AND(F21='2. AWARDS'!J14,N21&gt;M21,N21&lt;P21,VLOOKUP(G21,'2. AWARDS'!$C$9:$O$35,12,FALSE)&lt;&gt;0),VLOOKUP(G21,'2. AWARDS'!$C$9:$O$35,12,FALSE)*(1+O21),IF(AND(F21='2. AWARDS'!K14,N21&gt;M21,N21&lt;P21,VLOOKUP(G21,'2. AWARDS'!$C$9:$O$35,13,FALSE)&lt;&gt;0),VLOOKUP(G21,'2. AWARDS'!$C$9:$O$35,13,FALSE)*(1+O21),W21*(1+O21))))))))))))))))))))))))))))))))))</f>
        <v>#N/A</v>
      </c>
      <c r="Z21" s="661" t="e">
        <f t="shared" si="4"/>
        <v>#N/A</v>
      </c>
      <c r="AA21" s="683"/>
      <c r="AB21" s="774"/>
      <c r="AC21" s="777"/>
      <c r="AD21" s="781" t="e">
        <f>HLOOKUP(F21,'2. AWARDS'!$F$7:$J$40,32,FALSE)/5*HLOOKUP(F21,'2. AWARDS'!$F$7:$J$40,31,FALSE)*MAX(V21:Z21)*L21*HLOOKUP(F21,'2. AWARDS'!$F$7:$J$40,34,FALSE)</f>
        <v>#N/A</v>
      </c>
      <c r="AE21" s="783" t="e">
        <f>((HLOOKUP(F21,'2. AWARDS'!$F$7:$J$42,36,FALSE)/HLOOKUP(F21,'2. AWARDS'!$F$7:$J$42,35,FALSE)*HLOOKUP(F21,'2. AWARDS'!$F$7:$J$45,39,FALSE))/(HLOOKUP(F21,'2. AWARDS'!$F$7:$J$45,31,FALSE)*2)*K21*L21*HLOOKUP(F21,'2. AWARDS'!$F$7:$J$45,31,FALSE)*MAX(V21:Z21))</f>
        <v>#N/A</v>
      </c>
      <c r="AF21" s="474"/>
      <c r="AG21" s="804"/>
      <c r="AH21" s="801"/>
      <c r="AI21" s="801"/>
      <c r="AJ21" s="802"/>
      <c r="AK21" s="805"/>
      <c r="AL21" s="836">
        <f>IF(AG21="YES",HLOOKUP(F21,'2. AWARDS'!$F$7:$J$38,32,FALSE)/5*HLOOKUP(F21,'2. AWARDS'!$F$7:$J$37,31,FALSE)*K21/(HLOOKUP(F21,'2. AWARDS'!$F$7:$J$37,31,FALSE)*2)*L21*MAX(V21:Z21)*(1+HLOOKUP(F21,'2. AWARDS'!$F$7:$J$43,37,FALSE))*(1-AJ21),0)</f>
        <v>0</v>
      </c>
      <c r="AM21" s="836">
        <f>IF(AH21="YES",HLOOKUP(F21,'2. AWARDS'!$F$7:$J$39,33,FALSE)/5*HLOOKUP(F21,'2. AWARDS'!$F$7:$J$37,31,FALSE)*K21/(HLOOKUP(F21,'2. AWARDS'!$F$7:$J$37,31,FALSE)*2)*L21*MAX(V21:Z21)*(1+HLOOKUP(F21,'2. AWARDS'!$F$7:$J$43,37,FALSE))*(1-AJ21),0)</f>
        <v>0</v>
      </c>
      <c r="AN21" s="838">
        <f>IF(AI21="YES",HLOOKUP(F21,'2. AWARDS'!$F$7:$J$47,40,FALSE)/5*HLOOKUP(F21,'2. AWARDS'!$F$7:$J$37,31,FALSE)*K21/(HLOOKUP(F21,'2. AWARDS'!$F$7:$J$37,31,FALSE)*2)*L21*MAX(V21:Z21)*(1+HLOOKUP(F21,'2. AWARDS'!$F$7:$J$43,37,FALSE))*(1-AJ21),0)</f>
        <v>0</v>
      </c>
      <c r="AO21" s="839" t="e">
        <f>(IF(AG21="YES",HLOOKUP(F21,'2. AWARDS'!$F$7:$J$39,32,FALSE),0)+IF(AH21="YES",HLOOKUP(F21,'2. AWARDS'!$F$7:$J$39,33,FALSE),0)+IF(AI21="YES",HLOOKUP(F21,'2. AWARDS'!$F$7:$J$47,40,FALSE),0))/5*(HLOOKUP(F21,'2. AWARDS'!$F$7:$J$39,31,FALSE)*2)*AJ21*AK21</f>
        <v>#N/A</v>
      </c>
      <c r="AP21" s="683"/>
      <c r="AQ21" s="802">
        <f>'1. KEY DATA'!J$29</f>
        <v>0</v>
      </c>
      <c r="AR21" s="822">
        <f>'1. KEY DATA'!J$30</f>
        <v>0.09</v>
      </c>
      <c r="AS21" s="502"/>
      <c r="AT21" s="478">
        <f t="shared" si="1"/>
        <v>0</v>
      </c>
      <c r="AV21" s="337" t="e">
        <f t="shared" si="5"/>
        <v>#DIV/0!</v>
      </c>
      <c r="AW21" s="334" t="e">
        <f t="shared" si="2"/>
        <v>#DIV/0!</v>
      </c>
      <c r="AX21" s="334" t="e">
        <f t="shared" si="2"/>
        <v>#DIV/0!</v>
      </c>
      <c r="AY21" s="334" t="e">
        <f t="shared" si="2"/>
        <v>#DIV/0!</v>
      </c>
      <c r="AZ21" s="338" t="e">
        <f t="shared" si="2"/>
        <v>#DIV/0!</v>
      </c>
      <c r="BA21" s="342" t="e">
        <f t="shared" si="6"/>
        <v>#DIV/0!</v>
      </c>
      <c r="BC21" s="587"/>
      <c r="BD21" s="59"/>
      <c r="BE21" s="352">
        <f t="shared" si="7"/>
        <v>0</v>
      </c>
      <c r="BF21" s="128"/>
      <c r="BG21" s="346">
        <f>'8. PROGRAM PRICING'!$D$22</f>
        <v>0</v>
      </c>
      <c r="BH21" s="347">
        <f>'8. PROGRAM PRICING'!$D$23</f>
        <v>0</v>
      </c>
      <c r="BI21" s="130"/>
      <c r="BJ21" s="352">
        <f t="shared" si="8"/>
        <v>0</v>
      </c>
      <c r="BK21" s="426"/>
    </row>
    <row r="22" spans="2:66" s="9" customFormat="1">
      <c r="B22" s="14">
        <v>9</v>
      </c>
      <c r="C22" s="583" t="s">
        <v>70</v>
      </c>
      <c r="D22" s="896"/>
      <c r="E22" s="699">
        <f t="shared" si="3"/>
        <v>0</v>
      </c>
      <c r="F22" s="626"/>
      <c r="G22" s="652"/>
      <c r="H22" s="702"/>
      <c r="I22" s="693"/>
      <c r="J22" s="694"/>
      <c r="K22" s="1087"/>
      <c r="L22" s="689"/>
      <c r="M22" s="629"/>
      <c r="N22" s="629"/>
      <c r="O22" s="638">
        <f t="shared" si="9"/>
        <v>0.03</v>
      </c>
      <c r="P22" s="629"/>
      <c r="Q22" s="673" t="str">
        <f t="shared" si="0"/>
        <v>-</v>
      </c>
      <c r="R22" s="649"/>
      <c r="S22" s="647"/>
      <c r="T22" s="827"/>
      <c r="U22" s="670"/>
      <c r="V22" s="798">
        <f t="shared" si="10"/>
        <v>0</v>
      </c>
      <c r="W22" s="656">
        <f>IF(OR(F22=0,G22=0),0,IF(F22='2. AWARDS'!G$7,VLOOKUP(G22,'2. AWARDS'!$C$9:$F$35,4,FALSE),IF(F22='2. AWARDS'!H$7,VLOOKUP(G22,'2. AWARDS'!$C$9:$G$35,5,FALSE),IF(F22='2. AWARDS'!I$7,VLOOKUP(G22,'2. AWARDS'!$C$9:$H$35,6,FALSE),IF(F22='2. AWARDS'!J$7,VLOOKUP(G22,'2. AWARDS'!$C$9:$I$35,7,FALSE),VLOOKUP(G22,'2. AWARDS'!$C$9:$J$35,8,FALSE))))))</f>
        <v>0</v>
      </c>
      <c r="X22" s="657">
        <f>IF(OR(F22=0,G22=0),0,IF(AND(M22=0,F22='2. AWARDS'!F$7,VLOOKUP(G22,'2. AWARDS'!$C$9:$O$35,9,FALSE)&lt;&gt;0),"date missing",IF(AND(M22=0,F22='2. AWARDS'!G$7,VLOOKUP(G22,'2. AWARDS'!$C$9:$O$35,10,FALSE)&lt;&gt;0),"date missing",IF(AND(M22=0,F22='2. AWARDS'!H$7,VLOOKUP(G22,'2. AWARDS'!$C$9:$O$35,11,FALSE)&lt;&gt;0),"date missing",IF(AND(M22=0,F22='2. AWARDS'!I$7,VLOOKUP(G22,'2. AWARDS'!$C$9:$O$35,12,FALSE)&lt;&gt;0),"date missing",IF(AND(M22=0,F22='2. AWARDS'!J$7,VLOOKUP(G22,'2. AWARDS'!$C$9:$O$35,13,FALSE)&lt;&gt;0),"date missing",IF(M22=0,0,IF(OR(M22=MIN(N22,P22),AND(M22&lt;N22,M22&lt;P22,M22&gt;0)),IF(F22='2. AWARDS'!G$7,VLOOKUP(G22,'2. AWARDS'!$C$9:$O$35,9,FALSE),IF(F22='2. AWARDS'!H$7,VLOOKUP(G22,'2. AWARDS'!$C$9:$O$35,10,FALSE),IF(F22='2. AWARDS'!I$7,VLOOKUP(G22,'2. AWARDS'!$C$9:$O$35,11,FALSE),IF(F22='2. AWARDS'!J$7,VLOOKUP(G22,'2. AWARDS'!$C$9:$O$35,12,FALSE),IF(F22='2. AWARDS'!J$7,VLOOKUP(G22,'2. AWARDS'!$C$9:$O$35,13,FALSE)))))),IF(AND(M22&gt;N22,M22&lt;P22),IF(F22='2. AWARDS'!F$7,(1+O22)*VLOOKUP(G22,'2. AWARDS'!$C$9:$O$35,9,FALSE),IF(F22='2. AWARDS'!G$7,(1+O22)*VLOOKUP(G22,'2. AWARDS'!$C$9:$O$35,10,FALSE),IF(F22='2. AWARDS'!H$7,(1+O22)*VLOOKUP(G22,'2. AWARDS'!$C$9:$O$35,11,FALSE),IF(F22='2. AWARDS'!I$7,(1+O22)*VLOOKUP(G22,'2. AWARDS'!$C$9:$O$35,12,FALSE),IF(F22='2. AWARDS'!J$7,(1+O22)*VLOOKUP(G22,'2. AWARDS'!$C$9:$O$35,13,FALSE)))))),IF(AND(M22&lt;N22,M22&gt;P22),IF(F22='2. AWARDS'!F$7,(1+(Q22/9))*VLOOKUP(G22,'2. AWARDS'!$C$9:$O$35,9,FALSE),IF(F22='2. AWARDS'!G$7,(1+(Q22/9))*VLOOKUP(G22,'2. AWARDS'!$C$9:$O$35,10,FALSE),IF(F22='2. AWARDS'!H$7,(1+(Q22/9))*VLOOKUP(G22,'2. AWARDS'!$C$9:$O$35,11,FALSE),IF(F22='2. AWARDS'!I$7,(1+(Q22/9))*VLOOKUP(G22,'2. AWARDS'!$C$9:$O$35,12,FALSE),IF(F22='2. AWARDS'!J$7,(1+(Q22/9))*VLOOKUP(G22,'2. AWARDS'!$C$9:$O$35,13,FALSE)))))),IF(OR(M22=MAX(N22,P22),AND(M22&gt;N22,M22&gt;P22)),IF(F22='2. AWARDS'!F$7,((1+(Q22/9))*(1+O22))*VLOOKUP(G22,'2. AWARDS'!$C$9:$O$35,9,FALSE),IF(F22='2. AWARDS'!G$7,((1+(Q22/9))*(1+O22))*VLOOKUP(G22,'2. AWARDS'!$C$9:$O$35,10,FALSE),IF(F22='2. AWARDS'!H$7,((1+(Q22/9))*(1+O22))*VLOOKUP(G22,'2. AWARDS'!$C$9:$O$35,11,FALSE),IF(F22='2. AWARDS'!I$7,((1+(Q22/9))*(1+O22))*VLOOKUP(G22,'2. AWARDS'!$C$9:$O$35,12,FALSE),IF(F22='2. AWARDS'!J$7,((1+(Q22/9))*(1+O22))*VLOOKUP(G22,'2. AWARDS'!$C$9:$O$35,13,FALSE)))))),"?")))))))))))</f>
        <v>0</v>
      </c>
      <c r="Y22" s="656" t="e">
        <f>IF(AND(F22='2. AWARDS'!G15,N22&gt;M22,N22&gt;P22,VLOOKUP(G22,'2. AWARDS'!$C$9:$O$35,9,FALSE)&lt;&gt;0),VLOOKUP(G22,'2. AWARDS'!$C$9:$O$35,9,FALSE)*(1+O22)*(1+(Q22/9)),IF(AND(F22='2. AWARDS'!G15,N22&gt;M22,N22&gt;P22,VLOOKUP(G22,'2. AWARDS'!$C$9:$O$35,9,FALSE)=0),W22*(1+O22)*(1+(Q22/9)),IF(AND(F22='2. AWARDS'!H15,N22&gt;M22,N22&gt;P22,VLOOKUP(G22,'2. AWARDS'!$C$9:$O$35,10,FALSE)&lt;&gt;0),VLOOKUP(G22,'2. AWARDS'!$C$9:$O$35,10,FALSE)*(1+O22)*(1+(Q22/9)),IF(AND(F22='2. AWARDS'!H15,N22&gt;M22,N22&gt;P22,VLOOKUP(G22,'2. AWARDS'!$C$9:$O$35,10,FALSE)=0),W22*(1+O22)*(1+(Q22/9)),IF(AND(F22='2. AWARDS'!I15,N22&gt;M22,N22&gt;P22,VLOOKUP(G22,'2. AWARDS'!$C$9:$O$35,11,FALSE)&lt;&gt;0),VLOOKUP(G22,'2. AWARDS'!$C$9:$O$35,11,FALSE)*(1+O22)*(1+(Q22/9)),IF(AND(F22='2. AWARDS'!I15,N22&gt;M22,N22&gt;P22,VLOOKUP(G22,'2. AWARDS'!$C$9:$O$35,11,FALSE)=0),W22*(1+O22)*(1+(Q22/9)),IF(AND(F22='2. AWARDS'!J15,N22&gt;M22,N22&gt;P22,VLOOKUP(G22,'2. AWARDS'!$C$9:$O$35,12,FALSE)&lt;&gt;0),VLOOKUP(G22,'2. AWARDS'!$C$9:$O$35,12,FALSE)*(1+O22)*(1+(Q22/9)),IF(AND(F22='2. AWARDS'!J15,N22&gt;M22,N22&gt;P22,VLOOKUP(G22,'2. AWARDS'!$C$9:$O$35,12,FALSE)=0),W22*(1+O22)*(1+(Q22/9)),IF(AND(F22='2. AWARDS'!K15,N22&gt;M22,N22&gt;P22,VLOOKUP(G22,'2. AWARDS'!$C$9:$O$35,13,FALSE)&lt;&gt;0),VLOOKUP(G22,'2. AWARDS'!$C$9:$O$35,13,FALSE)*(1+O22)*(1+(Q22/9)),IF(AND(F22='2. AWARDS'!K15,N22&gt;M22,N22&gt;P22,VLOOKUP(G22,'2. AWARDS'!$C$9:$O$35,13,FALSE)=0),W22*(1+O22)*(1+(Q22/9)),IF(AND(N22&lt;M22,N22&gt;P22),W22*(1+O22)*(1+(Q22/9)),IF(AND(F22='2. AWARDS'!G15,N22=MAX(M22,P22),VLOOKUP(G22,'2. AWARDS'!$C$9:$O$35,9,FALSE)&lt;&gt;0),VLOOKUP(G22,'2. AWARDS'!$C$9:$O$35,9,FALSE)*(1+O22)*(1+(Q22/9)),IF(AND(F22='2. AWARDS'!G15,N22=MAX(M22,P22),VLOOKUP(G22,'2. AWARDS'!$C$9:$O$35,9,FALSE)=0),W22*(1+O22)*(1+(Q22/9)),IF(AND(F22='2. AWARDS'!H15,N22=MAX(M22,P22),VLOOKUP(G22,'2. AWARDS'!$C$9:$O$35,10,FALSE)&lt;&gt;0),VLOOKUP(G22,'2. AWARDS'!$C$9:$O$35,10,FALSE)*(1+O22)*(1+(Q22/9)),IF(AND(F22='2. AWARDS'!H15,N22=MAX(M22,P22),VLOOKUP(G22,'2. AWARDS'!$C$9:$O$35,10,FALSE)=0),W22*(1+O22)*(1+(Q22/9)),IF(AND(F22='2. AWARDS'!I15,N22=MAX(M22,P22),VLOOKUP(G22,'2. AWARDS'!$C$9:$O$35,11,FALSE)&lt;&gt;0),VLOOKUP(G22,'2. AWARDS'!$C$9:$O$35,11,FALSE)*(1+O22)*(1+(Q22/9)),IF(AND(F22='2. AWARDS'!I15,N22=MAX(M22,P22),VLOOKUP(G22,'2. AWARDS'!$C$9:$O$35,11,FALSE)=0),W22*(1+O22)*(1+(Q22/9)),IF(AND(F22='2. AWARDS'!J15,N22=MAX(M22,P22),VLOOKUP(G22,'2. AWARDS'!$C$9:$O$35,12,FALSE)&lt;&gt;0),VLOOKUP(G22,'2. AWARDS'!$C$9:$O$35,12,FALSE)*(1+O22)*(1+(Q22/9)),IF(AND(F22='2. AWARDS'!J15,N22=MAX(M22,P22),VLOOKUP(G22,'2. AWARDS'!$C$9:$O$35,12,FALSE)=0),W22*(1+O22)*(1+(Q22/9)),IF(AND(F22='2. AWARDS'!K15,N22=MAX(M22,P22),VLOOKUP(G22,'2. AWARDS'!$C$9:$O$35,13,FALSE)&lt;&gt;0),VLOOKUP(G22,'2. AWARDS'!$C$9:$O$35,13,FALSE)*(1+O22)*(1+(Q22/9)),IF(AND(F22='2. AWARDS'!K15,N22=MAX(M22,P22),VLOOKUP(G22,'2. AWARDS'!$C$9:$O$35,13,FALSE)=0),W22*(1+O22)*(1+(Q22/9)),IF(AND(N22&lt;M22,N22&lt;P22),W22*(1+O22),IF(AND(N22=M22,M22&lt;P22,F22='2. AWARDS'!G15),VLOOKUP(G22,'2. AWARDS'!$C$9:$O$35,9,FALSE)*(1+O22),IF(AND(N22=M22,M22&lt;P22,F22='2. AWARDS'!H15),VLOOKUP(G22,'2. AWARDS'!$C$9:$O$35,10,FALSE)*(1+O22),IF(AND(N22=M22,M22&lt;P22,F22='2. AWARDS'!I15),VLOOKUP(G22,'2. AWARDS'!$C$9:$O$35,11,FALSE)*(1+O22),IF(AND(N22=M22,M22&lt;P22,F22='2. AWARDS'!J15),VLOOKUP(G22,'2. AWARDS'!$C$9:$O$35,12,FALSE)*(1+O22),IF(AND(N22=M22,M22&lt;P22,F22='2. AWARDS'!K15),VLOOKUP(G22,'2. AWARDS'!$C$9:$O$35,13,FALSE)*(1+O22),IF(AND(N22=P22,M22&gt;P22),W22*(1+O22)*(1+(Q22/9)),IF(AND(F22='2. AWARDS'!G15,N22&gt;M22,N22&lt;P22,VLOOKUP(G22,'2. AWARDS'!$C$9:$O$35,9,FALSE)&lt;&gt;0),VLOOKUP(G22,'2. AWARDS'!$C$9:$O$35,9,FALSE)*(1+O22),IF(AND(F22='2. AWARDS'!H15,N22&gt;M22,N22&lt;P22,VLOOKUP(G22,'2. AWARDS'!$C$9:$O$35,10,FALSE)&lt;&gt;0),VLOOKUP(G22,'2. AWARDS'!$C$9:$O$35,10,FALSE)*(1+O22),IF(AND(F22='2. AWARDS'!I15,N22&gt;M22,N22&lt;P22,VLOOKUP(G22,'2. AWARDS'!$C$9:$O$35,11,FALSE)&lt;&gt;0),VLOOKUP(G22,'2. AWARDS'!$C$9:$O$35,11,FALSE)*(1+O22),IF(AND(F22='2. AWARDS'!J15,N22&gt;M22,N22&lt;P22,VLOOKUP(G22,'2. AWARDS'!$C$9:$O$35,12,FALSE)&lt;&gt;0),VLOOKUP(G22,'2. AWARDS'!$C$9:$O$35,12,FALSE)*(1+O22),IF(AND(F22='2. AWARDS'!K15,N22&gt;M22,N22&lt;P22,VLOOKUP(G22,'2. AWARDS'!$C$9:$O$35,13,FALSE)&lt;&gt;0),VLOOKUP(G22,'2. AWARDS'!$C$9:$O$35,13,FALSE)*(1+O22),W22*(1+O22))))))))))))))))))))))))))))))))))</f>
        <v>#N/A</v>
      </c>
      <c r="Z22" s="661" t="e">
        <f t="shared" si="4"/>
        <v>#N/A</v>
      </c>
      <c r="AA22" s="683"/>
      <c r="AB22" s="774"/>
      <c r="AC22" s="777"/>
      <c r="AD22" s="781" t="e">
        <f>HLOOKUP(F22,'2. AWARDS'!$F$7:$J$40,32,FALSE)/5*HLOOKUP(F22,'2. AWARDS'!$F$7:$J$40,31,FALSE)*MAX(V22:Z22)*L22*HLOOKUP(F22,'2. AWARDS'!$F$7:$J$40,34,FALSE)</f>
        <v>#N/A</v>
      </c>
      <c r="AE22" s="783" t="e">
        <f>((HLOOKUP(F22,'2. AWARDS'!$F$7:$J$42,36,FALSE)/HLOOKUP(F22,'2. AWARDS'!$F$7:$J$42,35,FALSE)*HLOOKUP(F22,'2. AWARDS'!$F$7:$J$45,39,FALSE))/(HLOOKUP(F22,'2. AWARDS'!$F$7:$J$45,31,FALSE)*2)*K22*L22*HLOOKUP(F22,'2. AWARDS'!$F$7:$J$45,31,FALSE)*MAX(V22:Z22))</f>
        <v>#N/A</v>
      </c>
      <c r="AF22" s="474"/>
      <c r="AG22" s="804"/>
      <c r="AH22" s="801"/>
      <c r="AI22" s="801"/>
      <c r="AJ22" s="802"/>
      <c r="AK22" s="805"/>
      <c r="AL22" s="836">
        <f>IF(AG22="YES",HLOOKUP(F22,'2. AWARDS'!$F$7:$J$38,32,FALSE)/5*HLOOKUP(F22,'2. AWARDS'!$F$7:$J$37,31,FALSE)*K22/(HLOOKUP(F22,'2. AWARDS'!$F$7:$J$37,31,FALSE)*2)*L22*MAX(V22:Z22)*(1+HLOOKUP(F22,'2. AWARDS'!$F$7:$J$43,37,FALSE))*(1-AJ22),0)</f>
        <v>0</v>
      </c>
      <c r="AM22" s="836">
        <f>IF(AH22="YES",HLOOKUP(F22,'2. AWARDS'!$F$7:$J$39,33,FALSE)/5*HLOOKUP(F22,'2. AWARDS'!$F$7:$J$37,31,FALSE)*K22/(HLOOKUP(F22,'2. AWARDS'!$F$7:$J$37,31,FALSE)*2)*L22*MAX(V22:Z22)*(1+HLOOKUP(F22,'2. AWARDS'!$F$7:$J$43,37,FALSE))*(1-AJ22),0)</f>
        <v>0</v>
      </c>
      <c r="AN22" s="838">
        <f>IF(AI22="YES",HLOOKUP(F22,'2. AWARDS'!$F$7:$J$47,40,FALSE)/5*HLOOKUP(F22,'2. AWARDS'!$F$7:$J$37,31,FALSE)*K22/(HLOOKUP(F22,'2. AWARDS'!$F$7:$J$37,31,FALSE)*2)*L22*MAX(V22:Z22)*(1+HLOOKUP(F22,'2. AWARDS'!$F$7:$J$43,37,FALSE))*(1-AJ22),0)</f>
        <v>0</v>
      </c>
      <c r="AO22" s="839" t="e">
        <f>(IF(AG22="YES",HLOOKUP(F22,'2. AWARDS'!$F$7:$J$39,32,FALSE),0)+IF(AH22="YES",HLOOKUP(F22,'2. AWARDS'!$F$7:$J$39,33,FALSE),0)+IF(AI22="YES",HLOOKUP(F22,'2. AWARDS'!$F$7:$J$47,40,FALSE),0))/5*(HLOOKUP(F22,'2. AWARDS'!$F$7:$J$39,31,FALSE)*2)*AJ22*AK22</f>
        <v>#N/A</v>
      </c>
      <c r="AP22" s="683"/>
      <c r="AQ22" s="802">
        <f>'1. KEY DATA'!J$29</f>
        <v>0</v>
      </c>
      <c r="AR22" s="822">
        <f>'1. KEY DATA'!J$30</f>
        <v>0.09</v>
      </c>
      <c r="AS22" s="502"/>
      <c r="AT22" s="478">
        <f t="shared" si="1"/>
        <v>0</v>
      </c>
      <c r="AV22" s="337" t="e">
        <f t="shared" si="5"/>
        <v>#DIV/0!</v>
      </c>
      <c r="AW22" s="334" t="e">
        <f t="shared" si="2"/>
        <v>#DIV/0!</v>
      </c>
      <c r="AX22" s="334" t="e">
        <f t="shared" si="2"/>
        <v>#DIV/0!</v>
      </c>
      <c r="AY22" s="334" t="e">
        <f t="shared" si="2"/>
        <v>#DIV/0!</v>
      </c>
      <c r="AZ22" s="338" t="e">
        <f t="shared" si="2"/>
        <v>#DIV/0!</v>
      </c>
      <c r="BA22" s="342" t="e">
        <f t="shared" si="6"/>
        <v>#DIV/0!</v>
      </c>
      <c r="BC22" s="587"/>
      <c r="BD22" s="59"/>
      <c r="BE22" s="352">
        <f t="shared" si="7"/>
        <v>0</v>
      </c>
      <c r="BF22" s="128"/>
      <c r="BG22" s="346">
        <f>'8. PROGRAM PRICING'!$D$22</f>
        <v>0</v>
      </c>
      <c r="BH22" s="347">
        <f>'8. PROGRAM PRICING'!$D$23</f>
        <v>0</v>
      </c>
      <c r="BI22" s="130"/>
      <c r="BJ22" s="352">
        <f t="shared" si="8"/>
        <v>0</v>
      </c>
      <c r="BK22" s="426"/>
    </row>
    <row r="23" spans="2:66" s="9" customFormat="1" ht="15.75" thickBot="1">
      <c r="B23" s="43">
        <v>10</v>
      </c>
      <c r="C23" s="1105" t="s">
        <v>70</v>
      </c>
      <c r="D23" s="896"/>
      <c r="E23" s="700">
        <f t="shared" si="3"/>
        <v>0</v>
      </c>
      <c r="F23" s="627"/>
      <c r="G23" s="653"/>
      <c r="H23" s="687"/>
      <c r="I23" s="695"/>
      <c r="J23" s="846"/>
      <c r="K23" s="1088"/>
      <c r="L23" s="761"/>
      <c r="M23" s="630"/>
      <c r="N23" s="630"/>
      <c r="O23" s="639">
        <f t="shared" si="9"/>
        <v>0.03</v>
      </c>
      <c r="P23" s="630"/>
      <c r="Q23" s="847" t="str">
        <f t="shared" si="0"/>
        <v>-</v>
      </c>
      <c r="R23" s="649"/>
      <c r="S23" s="848"/>
      <c r="T23" s="849"/>
      <c r="U23" s="850"/>
      <c r="V23" s="851">
        <f t="shared" si="10"/>
        <v>0</v>
      </c>
      <c r="W23" s="852">
        <f>IF(OR(F23=0,G23=0),0,IF(F23='2. AWARDS'!G$7,VLOOKUP(G23,'2. AWARDS'!$C$9:$F$35,4,FALSE),IF(F23='2. AWARDS'!H$7,VLOOKUP(G23,'2. AWARDS'!$C$9:$G$35,5,FALSE),IF(F23='2. AWARDS'!I$7,VLOOKUP(G23,'2. AWARDS'!$C$9:$H$35,6,FALSE),IF(F23='2. AWARDS'!J$7,VLOOKUP(G23,'2. AWARDS'!$C$9:$I$35,7,FALSE),VLOOKUP(G23,'2. AWARDS'!$C$9:$J$35,8,FALSE))))))</f>
        <v>0</v>
      </c>
      <c r="X23" s="853">
        <f>IF(OR(F23=0,G23=0),0,IF(AND(M23=0,F23='2. AWARDS'!F$7,VLOOKUP(G23,'2. AWARDS'!$C$9:$O$35,9,FALSE)&lt;&gt;0),"date missing",IF(AND(M23=0,F23='2. AWARDS'!G$7,VLOOKUP(G23,'2. AWARDS'!$C$9:$O$35,10,FALSE)&lt;&gt;0),"date missing",IF(AND(M23=0,F23='2. AWARDS'!H$7,VLOOKUP(G23,'2. AWARDS'!$C$9:$O$35,11,FALSE)&lt;&gt;0),"date missing",IF(AND(M23=0,F23='2. AWARDS'!I$7,VLOOKUP(G23,'2. AWARDS'!$C$9:$O$35,12,FALSE)&lt;&gt;0),"date missing",IF(AND(M23=0,F23='2. AWARDS'!J$7,VLOOKUP(G23,'2. AWARDS'!$C$9:$O$35,13,FALSE)&lt;&gt;0),"date missing",IF(M23=0,0,IF(OR(M23=MIN(N23,P23),AND(M23&lt;N23,M23&lt;P23,M23&gt;0)),IF(F23='2. AWARDS'!G$7,VLOOKUP(G23,'2. AWARDS'!$C$9:$O$35,9,FALSE),IF(F23='2. AWARDS'!H$7,VLOOKUP(G23,'2. AWARDS'!$C$9:$O$35,10,FALSE),IF(F23='2. AWARDS'!I$7,VLOOKUP(G23,'2. AWARDS'!$C$9:$O$35,11,FALSE),IF(F23='2. AWARDS'!J$7,VLOOKUP(G23,'2. AWARDS'!$C$9:$O$35,12,FALSE),IF(F23='2. AWARDS'!J$7,VLOOKUP(G23,'2. AWARDS'!$C$9:$O$35,13,FALSE)))))),IF(AND(M23&gt;N23,M23&lt;P23),IF(F23='2. AWARDS'!F$7,(1+O23)*VLOOKUP(G23,'2. AWARDS'!$C$9:$O$35,9,FALSE),IF(F23='2. AWARDS'!G$7,(1+O23)*VLOOKUP(G23,'2. AWARDS'!$C$9:$O$35,10,FALSE),IF(F23='2. AWARDS'!H$7,(1+O23)*VLOOKUP(G23,'2. AWARDS'!$C$9:$O$35,11,FALSE),IF(F23='2. AWARDS'!I$7,(1+O23)*VLOOKUP(G23,'2. AWARDS'!$C$9:$O$35,12,FALSE),IF(F23='2. AWARDS'!J$7,(1+O23)*VLOOKUP(G23,'2. AWARDS'!$C$9:$O$35,13,FALSE)))))),IF(AND(M23&lt;N23,M23&gt;P23),IF(F23='2. AWARDS'!F$7,(1+(Q23/9))*VLOOKUP(G23,'2. AWARDS'!$C$9:$O$35,9,FALSE),IF(F23='2. AWARDS'!G$7,(1+(Q23/9))*VLOOKUP(G23,'2. AWARDS'!$C$9:$O$35,10,FALSE),IF(F23='2. AWARDS'!H$7,(1+(Q23/9))*VLOOKUP(G23,'2. AWARDS'!$C$9:$O$35,11,FALSE),IF(F23='2. AWARDS'!I$7,(1+(Q23/9))*VLOOKUP(G23,'2. AWARDS'!$C$9:$O$35,12,FALSE),IF(F23='2. AWARDS'!J$7,(1+(Q23/9))*VLOOKUP(G23,'2. AWARDS'!$C$9:$O$35,13,FALSE)))))),IF(OR(M23=MAX(N23,P23),AND(M23&gt;N23,M23&gt;P23)),IF(F23='2. AWARDS'!F$7,((1+(Q23/9))*(1+O23))*VLOOKUP(G23,'2. AWARDS'!$C$9:$O$35,9,FALSE),IF(F23='2. AWARDS'!G$7,((1+(Q23/9))*(1+O23))*VLOOKUP(G23,'2. AWARDS'!$C$9:$O$35,10,FALSE),IF(F23='2. AWARDS'!H$7,((1+(Q23/9))*(1+O23))*VLOOKUP(G23,'2. AWARDS'!$C$9:$O$35,11,FALSE),IF(F23='2. AWARDS'!I$7,((1+(Q23/9))*(1+O23))*VLOOKUP(G23,'2. AWARDS'!$C$9:$O$35,12,FALSE),IF(F23='2. AWARDS'!J$7,((1+(Q23/9))*(1+O23))*VLOOKUP(G23,'2. AWARDS'!$C$9:$O$35,13,FALSE)))))),"?")))))))))))</f>
        <v>0</v>
      </c>
      <c r="Y23" s="852" t="e">
        <f>IF(AND(F23='2. AWARDS'!G16,N23&gt;M23,N23&gt;P23,VLOOKUP(G23,'2. AWARDS'!$C$9:$O$35,9,FALSE)&lt;&gt;0),VLOOKUP(G23,'2. AWARDS'!$C$9:$O$35,9,FALSE)*(1+O23)*(1+(Q23/9)),IF(AND(F23='2. AWARDS'!G16,N23&gt;M23,N23&gt;P23,VLOOKUP(G23,'2. AWARDS'!$C$9:$O$35,9,FALSE)=0),W23*(1+O23)*(1+(Q23/9)),IF(AND(F23='2. AWARDS'!H16,N23&gt;M23,N23&gt;P23,VLOOKUP(G23,'2. AWARDS'!$C$9:$O$35,10,FALSE)&lt;&gt;0),VLOOKUP(G23,'2. AWARDS'!$C$9:$O$35,10,FALSE)*(1+O23)*(1+(Q23/9)),IF(AND(F23='2. AWARDS'!H16,N23&gt;M23,N23&gt;P23,VLOOKUP(G23,'2. AWARDS'!$C$9:$O$35,10,FALSE)=0),W23*(1+O23)*(1+(Q23/9)),IF(AND(F23='2. AWARDS'!I16,N23&gt;M23,N23&gt;P23,VLOOKUP(G23,'2. AWARDS'!$C$9:$O$35,11,FALSE)&lt;&gt;0),VLOOKUP(G23,'2. AWARDS'!$C$9:$O$35,11,FALSE)*(1+O23)*(1+(Q23/9)),IF(AND(F23='2. AWARDS'!I16,N23&gt;M23,N23&gt;P23,VLOOKUP(G23,'2. AWARDS'!$C$9:$O$35,11,FALSE)=0),W23*(1+O23)*(1+(Q23/9)),IF(AND(F23='2. AWARDS'!J16,N23&gt;M23,N23&gt;P23,VLOOKUP(G23,'2. AWARDS'!$C$9:$O$35,12,FALSE)&lt;&gt;0),VLOOKUP(G23,'2. AWARDS'!$C$9:$O$35,12,FALSE)*(1+O23)*(1+(Q23/9)),IF(AND(F23='2. AWARDS'!J16,N23&gt;M23,N23&gt;P23,VLOOKUP(G23,'2. AWARDS'!$C$9:$O$35,12,FALSE)=0),W23*(1+O23)*(1+(Q23/9)),IF(AND(F23='2. AWARDS'!K16,N23&gt;M23,N23&gt;P23,VLOOKUP(G23,'2. AWARDS'!$C$9:$O$35,13,FALSE)&lt;&gt;0),VLOOKUP(G23,'2. AWARDS'!$C$9:$O$35,13,FALSE)*(1+O23)*(1+(Q23/9)),IF(AND(F23='2. AWARDS'!K16,N23&gt;M23,N23&gt;P23,VLOOKUP(G23,'2. AWARDS'!$C$9:$O$35,13,FALSE)=0),W23*(1+O23)*(1+(Q23/9)),IF(AND(N23&lt;M23,N23&gt;P23),W23*(1+O23)*(1+(Q23/9)),IF(AND(F23='2. AWARDS'!G16,N23=MAX(M23,P23),VLOOKUP(G23,'2. AWARDS'!$C$9:$O$35,9,FALSE)&lt;&gt;0),VLOOKUP(G23,'2. AWARDS'!$C$9:$O$35,9,FALSE)*(1+O23)*(1+(Q23/9)),IF(AND(F23='2. AWARDS'!G16,N23=MAX(M23,P23),VLOOKUP(G23,'2. AWARDS'!$C$9:$O$35,9,FALSE)=0),W23*(1+O23)*(1+(Q23/9)),IF(AND(F23='2. AWARDS'!H16,N23=MAX(M23,P23),VLOOKUP(G23,'2. AWARDS'!$C$9:$O$35,10,FALSE)&lt;&gt;0),VLOOKUP(G23,'2. AWARDS'!$C$9:$O$35,10,FALSE)*(1+O23)*(1+(Q23/9)),IF(AND(F23='2. AWARDS'!H16,N23=MAX(M23,P23),VLOOKUP(G23,'2. AWARDS'!$C$9:$O$35,10,FALSE)=0),W23*(1+O23)*(1+(Q23/9)),IF(AND(F23='2. AWARDS'!I16,N23=MAX(M23,P23),VLOOKUP(G23,'2. AWARDS'!$C$9:$O$35,11,FALSE)&lt;&gt;0),VLOOKUP(G23,'2. AWARDS'!$C$9:$O$35,11,FALSE)*(1+O23)*(1+(Q23/9)),IF(AND(F23='2. AWARDS'!I16,N23=MAX(M23,P23),VLOOKUP(G23,'2. AWARDS'!$C$9:$O$35,11,FALSE)=0),W23*(1+O23)*(1+(Q23/9)),IF(AND(F23='2. AWARDS'!J16,N23=MAX(M23,P23),VLOOKUP(G23,'2. AWARDS'!$C$9:$O$35,12,FALSE)&lt;&gt;0),VLOOKUP(G23,'2. AWARDS'!$C$9:$O$35,12,FALSE)*(1+O23)*(1+(Q23/9)),IF(AND(F23='2. AWARDS'!J16,N23=MAX(M23,P23),VLOOKUP(G23,'2. AWARDS'!$C$9:$O$35,12,FALSE)=0),W23*(1+O23)*(1+(Q23/9)),IF(AND(F23='2. AWARDS'!K16,N23=MAX(M23,P23),VLOOKUP(G23,'2. AWARDS'!$C$9:$O$35,13,FALSE)&lt;&gt;0),VLOOKUP(G23,'2. AWARDS'!$C$9:$O$35,13,FALSE)*(1+O23)*(1+(Q23/9)),IF(AND(F23='2. AWARDS'!K16,N23=MAX(M23,P23),VLOOKUP(G23,'2. AWARDS'!$C$9:$O$35,13,FALSE)=0),W23*(1+O23)*(1+(Q23/9)),IF(AND(N23&lt;M23,N23&lt;P23),W23*(1+O23),IF(AND(N23=M23,M23&lt;P23,F23='2. AWARDS'!G16),VLOOKUP(G23,'2. AWARDS'!$C$9:$O$35,9,FALSE)*(1+O23),IF(AND(N23=M23,M23&lt;P23,F23='2. AWARDS'!H16),VLOOKUP(G23,'2. AWARDS'!$C$9:$O$35,10,FALSE)*(1+O23),IF(AND(N23=M23,M23&lt;P23,F23='2. AWARDS'!I16),VLOOKUP(G23,'2. AWARDS'!$C$9:$O$35,11,FALSE)*(1+O23),IF(AND(N23=M23,M23&lt;P23,F23='2. AWARDS'!J16),VLOOKUP(G23,'2. AWARDS'!$C$9:$O$35,12,FALSE)*(1+O23),IF(AND(N23=M23,M23&lt;P23,F23='2. AWARDS'!K16),VLOOKUP(G23,'2. AWARDS'!$C$9:$O$35,13,FALSE)*(1+O23),IF(AND(N23=P23,M23&gt;P23),W23*(1+O23)*(1+(Q23/9)),IF(AND(F23='2. AWARDS'!G16,N23&gt;M23,N23&lt;P23,VLOOKUP(G23,'2. AWARDS'!$C$9:$O$35,9,FALSE)&lt;&gt;0),VLOOKUP(G23,'2. AWARDS'!$C$9:$O$35,9,FALSE)*(1+O23),IF(AND(F23='2. AWARDS'!H16,N23&gt;M23,N23&lt;P23,VLOOKUP(G23,'2. AWARDS'!$C$9:$O$35,10,FALSE)&lt;&gt;0),VLOOKUP(G23,'2. AWARDS'!$C$9:$O$35,10,FALSE)*(1+O23),IF(AND(F23='2. AWARDS'!I16,N23&gt;M23,N23&lt;P23,VLOOKUP(G23,'2. AWARDS'!$C$9:$O$35,11,FALSE)&lt;&gt;0),VLOOKUP(G23,'2. AWARDS'!$C$9:$O$35,11,FALSE)*(1+O23),IF(AND(F23='2. AWARDS'!J16,N23&gt;M23,N23&lt;P23,VLOOKUP(G23,'2. AWARDS'!$C$9:$O$35,12,FALSE)&lt;&gt;0),VLOOKUP(G23,'2. AWARDS'!$C$9:$O$35,12,FALSE)*(1+O23),IF(AND(F23='2. AWARDS'!K16,N23&gt;M23,N23&lt;P23,VLOOKUP(G23,'2. AWARDS'!$C$9:$O$35,13,FALSE)&lt;&gt;0),VLOOKUP(G23,'2. AWARDS'!$C$9:$O$35,13,FALSE)*(1+O23),W23*(1+O23))))))))))))))))))))))))))))))))))</f>
        <v>#N/A</v>
      </c>
      <c r="Z23" s="854" t="e">
        <f t="shared" si="4"/>
        <v>#N/A</v>
      </c>
      <c r="AA23" s="683"/>
      <c r="AB23" s="855"/>
      <c r="AC23" s="778"/>
      <c r="AD23" s="787" t="e">
        <f>HLOOKUP(F23,'2. AWARDS'!$F$7:$J$40,32,FALSE)/5*HLOOKUP(F23,'2. AWARDS'!$F$7:$J$40,31,FALSE)*MAX(V23:Z23)*L23*HLOOKUP(F23,'2. AWARDS'!$F$7:$J$40,34,FALSE)</f>
        <v>#N/A</v>
      </c>
      <c r="AE23" s="845" t="e">
        <f>((HLOOKUP(F23,'2. AWARDS'!$F$7:$J$42,36,FALSE)/HLOOKUP(F23,'2. AWARDS'!$F$7:$J$42,35,FALSE)*HLOOKUP(F23,'2. AWARDS'!$F$7:$J$45,39,FALSE))/(HLOOKUP(F23,'2. AWARDS'!$F$7:$J$45,31,FALSE)*2)*K23*L23*HLOOKUP(F23,'2. AWARDS'!$F$7:$J$45,31,FALSE)*MAX(V23:Z23))</f>
        <v>#N/A</v>
      </c>
      <c r="AF23" s="474"/>
      <c r="AG23" s="806"/>
      <c r="AH23" s="807"/>
      <c r="AI23" s="807"/>
      <c r="AJ23" s="856"/>
      <c r="AK23" s="809"/>
      <c r="AL23" s="857">
        <f>IF(AG23="YES",HLOOKUP(F23,'2. AWARDS'!$F$7:$J$38,32,FALSE)/5*HLOOKUP(F23,'2. AWARDS'!$F$7:$J$37,31,FALSE)*K23/(HLOOKUP(F23,'2. AWARDS'!$F$7:$J$37,31,FALSE)*2)*L23*MAX(V23:Z23)*(1+HLOOKUP(F23,'2. AWARDS'!$F$7:$J$43,37,FALSE))*(1-AJ23),0)</f>
        <v>0</v>
      </c>
      <c r="AM23" s="857">
        <f>IF(AH23="YES",HLOOKUP(F23,'2. AWARDS'!$F$7:$J$39,33,FALSE)/5*HLOOKUP(F23,'2. AWARDS'!$F$7:$J$37,31,FALSE)*K23/(HLOOKUP(F23,'2. AWARDS'!$F$7:$J$37,31,FALSE)*2)*L23*MAX(V23:Z23)*(1+HLOOKUP(F23,'2. AWARDS'!$F$7:$J$43,37,FALSE))*(1-AJ23),0)</f>
        <v>0</v>
      </c>
      <c r="AN23" s="841">
        <f>IF(AI23="YES",HLOOKUP(F23,'2. AWARDS'!$F$7:$J$47,40,FALSE)/5*HLOOKUP(F23,'2. AWARDS'!$F$7:$J$37,31,FALSE)*K23/(HLOOKUP(F23,'2. AWARDS'!$F$7:$J$37,31,FALSE)*2)*L23*MAX(V23:Z23)*(1+HLOOKUP(F23,'2. AWARDS'!$F$7:$J$43,37,FALSE))*(1-AJ23),0)</f>
        <v>0</v>
      </c>
      <c r="AO23" s="858" t="e">
        <f>(IF(AG23="YES",HLOOKUP(F23,'2. AWARDS'!$F$7:$J$39,32,FALSE),0)+IF(AH23="YES",HLOOKUP(F23,'2. AWARDS'!$F$7:$J$39,33,FALSE),0)+IF(AI23="YES",HLOOKUP(F23,'2. AWARDS'!$F$7:$J$47,40,FALSE),0))/5*(HLOOKUP(F23,'2. AWARDS'!$F$7:$J$39,31,FALSE)*2)*AJ23*AK23</f>
        <v>#N/A</v>
      </c>
      <c r="AP23" s="683"/>
      <c r="AQ23" s="1142">
        <f>'1. KEY DATA'!J$29</f>
        <v>0</v>
      </c>
      <c r="AR23" s="1143">
        <f>'1. KEY DATA'!J$30</f>
        <v>0.09</v>
      </c>
      <c r="AS23" s="502"/>
      <c r="AT23" s="479">
        <f t="shared" si="1"/>
        <v>0</v>
      </c>
      <c r="AV23" s="339" t="e">
        <f t="shared" si="5"/>
        <v>#DIV/0!</v>
      </c>
      <c r="AW23" s="340" t="e">
        <f t="shared" si="2"/>
        <v>#DIV/0!</v>
      </c>
      <c r="AX23" s="340" t="e">
        <f t="shared" si="2"/>
        <v>#DIV/0!</v>
      </c>
      <c r="AY23" s="340" t="e">
        <f t="shared" si="2"/>
        <v>#DIV/0!</v>
      </c>
      <c r="AZ23" s="103" t="e">
        <f t="shared" si="2"/>
        <v>#DIV/0!</v>
      </c>
      <c r="BA23" s="343" t="e">
        <f t="shared" si="6"/>
        <v>#DIV/0!</v>
      </c>
      <c r="BC23" s="588"/>
      <c r="BD23" s="59"/>
      <c r="BE23" s="353">
        <f t="shared" si="7"/>
        <v>0</v>
      </c>
      <c r="BF23" s="128"/>
      <c r="BG23" s="348">
        <f>'8. PROGRAM PRICING'!$D$22</f>
        <v>0</v>
      </c>
      <c r="BH23" s="349">
        <f>'8. PROGRAM PRICING'!$D$23</f>
        <v>0</v>
      </c>
      <c r="BI23" s="130"/>
      <c r="BJ23" s="353">
        <f t="shared" si="8"/>
        <v>0</v>
      </c>
      <c r="BK23" s="426"/>
    </row>
    <row r="24" spans="2:66" s="9" customFormat="1" ht="16.5" customHeight="1" thickBot="1">
      <c r="D24" s="59"/>
      <c r="K24" s="1089"/>
      <c r="AY24" s="121"/>
      <c r="AZ24" s="121"/>
      <c r="BA24" s="593"/>
      <c r="BB24" s="585"/>
      <c r="BC24" s="594">
        <f>SUM(BC14:BC23)-'1. KEY DATA'!E44</f>
        <v>0</v>
      </c>
      <c r="BD24" s="589"/>
      <c r="BJ24" s="350"/>
      <c r="BK24" s="350"/>
      <c r="BL24" s="48"/>
      <c r="BN24" s="59"/>
    </row>
    <row r="25" spans="2:66" s="9" customFormat="1" ht="24" customHeight="1" thickBot="1">
      <c r="B25" s="1578" t="s">
        <v>85</v>
      </c>
      <c r="C25" s="1579"/>
      <c r="D25" s="891"/>
      <c r="E25" s="891"/>
      <c r="F25" s="891"/>
      <c r="G25" s="891"/>
      <c r="H25" s="891"/>
      <c r="I25" s="891"/>
      <c r="J25" s="891"/>
      <c r="K25" s="1085"/>
      <c r="L25" s="891"/>
      <c r="M25" s="891"/>
      <c r="N25" s="891"/>
      <c r="O25" s="891"/>
      <c r="P25" s="891"/>
      <c r="Q25" s="891"/>
      <c r="R25" s="891"/>
      <c r="S25" s="1589" t="s">
        <v>343</v>
      </c>
      <c r="T25" s="891"/>
      <c r="U25" s="891"/>
      <c r="V25" s="891"/>
      <c r="W25" s="891"/>
      <c r="X25" s="891"/>
      <c r="Y25" s="891"/>
      <c r="Z25" s="891"/>
      <c r="AA25" s="891"/>
      <c r="AB25" s="891"/>
      <c r="AC25" s="891"/>
      <c r="AD25" s="891"/>
      <c r="AE25" s="891"/>
      <c r="AF25" s="891"/>
      <c r="AG25" s="891"/>
      <c r="AH25" s="891"/>
      <c r="AI25" s="891"/>
      <c r="AJ25" s="891"/>
      <c r="AK25" s="891"/>
      <c r="AL25" s="891"/>
      <c r="AM25" s="891"/>
      <c r="AN25" s="891"/>
      <c r="AO25" s="891"/>
      <c r="AP25" s="891"/>
      <c r="AQ25" s="891"/>
      <c r="AR25" s="891"/>
      <c r="AS25" s="891"/>
      <c r="AT25" s="891"/>
      <c r="AY25" s="121"/>
      <c r="AZ25" s="1574" t="s">
        <v>188</v>
      </c>
      <c r="BA25" s="1575"/>
      <c r="BB25" s="1575"/>
      <c r="BC25" s="1576"/>
      <c r="BD25" s="590"/>
      <c r="BJ25" s="350"/>
      <c r="BK25" s="350"/>
      <c r="BL25" s="48"/>
      <c r="BN25" s="59"/>
    </row>
    <row r="26" spans="2:66" s="9" customFormat="1" ht="18" customHeight="1" thickBot="1">
      <c r="D26" s="59"/>
      <c r="K26" s="1089"/>
      <c r="S26" s="1590"/>
      <c r="AY26" s="121"/>
      <c r="AZ26" s="121"/>
      <c r="BA26" s="121"/>
      <c r="BB26" s="121"/>
      <c r="BC26" s="121"/>
      <c r="BJ26" s="350"/>
      <c r="BK26" s="350"/>
      <c r="BL26" s="48"/>
      <c r="BN26" s="59"/>
    </row>
    <row r="27" spans="2:66" s="9" customFormat="1" ht="15.75" thickTop="1">
      <c r="B27" s="429">
        <v>11</v>
      </c>
      <c r="C27" s="888" t="s">
        <v>73</v>
      </c>
      <c r="D27" s="59"/>
      <c r="E27" s="1552"/>
      <c r="F27" s="1553"/>
      <c r="G27" s="1553"/>
      <c r="H27" s="1553"/>
      <c r="I27" s="1553"/>
      <c r="J27" s="1554"/>
      <c r="K27" s="1090"/>
      <c r="L27" s="1561"/>
      <c r="M27" s="1553"/>
      <c r="N27" s="1553"/>
      <c r="O27" s="1553"/>
      <c r="P27" s="1553"/>
      <c r="Q27" s="1553"/>
      <c r="R27" s="1554"/>
      <c r="S27" s="921"/>
      <c r="T27" s="1564"/>
      <c r="U27" s="1565"/>
      <c r="V27" s="1565"/>
      <c r="W27" s="1565"/>
      <c r="X27" s="1565"/>
      <c r="Y27" s="1565"/>
      <c r="Z27" s="1565"/>
      <c r="AA27" s="1565"/>
      <c r="AB27" s="1565"/>
      <c r="AC27" s="1565"/>
      <c r="AD27" s="1565"/>
      <c r="AE27" s="1565"/>
      <c r="AF27" s="1565"/>
      <c r="AG27" s="1565"/>
      <c r="AH27" s="1565"/>
      <c r="AI27" s="1565"/>
      <c r="AJ27" s="1565"/>
      <c r="AK27" s="1565"/>
      <c r="AL27" s="1565"/>
      <c r="AM27" s="1565"/>
      <c r="AN27" s="1565"/>
      <c r="AO27" s="1565"/>
      <c r="AP27" s="1565"/>
      <c r="AQ27" s="1565"/>
      <c r="AR27" s="1565"/>
      <c r="AS27" s="1566"/>
      <c r="AT27" s="949"/>
      <c r="AV27" s="335" t="e">
        <f t="shared" ref="AV27:AZ36" si="11">AV$10/SUM($AT$14:$AT$36)*AV$10</f>
        <v>#DIV/0!</v>
      </c>
      <c r="AW27" s="336" t="e">
        <f t="shared" si="11"/>
        <v>#DIV/0!</v>
      </c>
      <c r="AX27" s="336" t="e">
        <f t="shared" si="11"/>
        <v>#DIV/0!</v>
      </c>
      <c r="AY27" s="336" t="e">
        <f t="shared" si="11"/>
        <v>#DIV/0!</v>
      </c>
      <c r="AZ27" s="303" t="e">
        <f t="shared" si="11"/>
        <v>#DIV/0!</v>
      </c>
      <c r="BA27" s="341" t="e">
        <f t="shared" ref="BA27:BA36" si="12">SUM(AU27:AZ27)</f>
        <v>#DIV/0!</v>
      </c>
      <c r="BC27" s="586"/>
      <c r="BD27" s="128"/>
      <c r="BE27" s="351">
        <f t="shared" ref="BE27:BE36" si="13">IF(BC27=0,0,BA27/BC27)</f>
        <v>0</v>
      </c>
      <c r="BF27" s="80"/>
      <c r="BG27" s="344">
        <f>'8. PROGRAM PRICING'!$D$22</f>
        <v>0</v>
      </c>
      <c r="BH27" s="345">
        <f>'8. PROGRAM PRICING'!$D$23</f>
        <v>0</v>
      </c>
      <c r="BI27" s="130"/>
      <c r="BJ27" s="351">
        <f t="shared" ref="BJ27:BJ36" si="14">BE27*(1+BG27+BH27)</f>
        <v>0</v>
      </c>
      <c r="BK27" s="426"/>
    </row>
    <row r="28" spans="2:66" s="9" customFormat="1">
      <c r="B28" s="430">
        <v>12</v>
      </c>
      <c r="C28" s="889" t="s">
        <v>73</v>
      </c>
      <c r="D28" s="59"/>
      <c r="E28" s="1555"/>
      <c r="F28" s="1556"/>
      <c r="G28" s="1556"/>
      <c r="H28" s="1556"/>
      <c r="I28" s="1556"/>
      <c r="J28" s="1557"/>
      <c r="K28" s="1091"/>
      <c r="L28" s="1562"/>
      <c r="M28" s="1556"/>
      <c r="N28" s="1556"/>
      <c r="O28" s="1556"/>
      <c r="P28" s="1556"/>
      <c r="Q28" s="1556"/>
      <c r="R28" s="1557"/>
      <c r="S28" s="889"/>
      <c r="T28" s="1567"/>
      <c r="U28" s="1568"/>
      <c r="V28" s="1568"/>
      <c r="W28" s="1568"/>
      <c r="X28" s="1568"/>
      <c r="Y28" s="1568"/>
      <c r="Z28" s="1568"/>
      <c r="AA28" s="1568"/>
      <c r="AB28" s="1568"/>
      <c r="AC28" s="1568"/>
      <c r="AD28" s="1568"/>
      <c r="AE28" s="1568"/>
      <c r="AF28" s="1568"/>
      <c r="AG28" s="1568"/>
      <c r="AH28" s="1568"/>
      <c r="AI28" s="1568"/>
      <c r="AJ28" s="1568"/>
      <c r="AK28" s="1568"/>
      <c r="AL28" s="1568"/>
      <c r="AM28" s="1568"/>
      <c r="AN28" s="1568"/>
      <c r="AO28" s="1568"/>
      <c r="AP28" s="1568"/>
      <c r="AQ28" s="1568"/>
      <c r="AR28" s="1568"/>
      <c r="AS28" s="1569"/>
      <c r="AT28" s="950">
        <f t="shared" ref="AT28:AT36" si="15">K28*S28*26.071428</f>
        <v>0</v>
      </c>
      <c r="AV28" s="337" t="e">
        <f t="shared" si="11"/>
        <v>#DIV/0!</v>
      </c>
      <c r="AW28" s="334" t="e">
        <f t="shared" si="11"/>
        <v>#DIV/0!</v>
      </c>
      <c r="AX28" s="334" t="e">
        <f t="shared" si="11"/>
        <v>#DIV/0!</v>
      </c>
      <c r="AY28" s="334" t="e">
        <f t="shared" si="11"/>
        <v>#DIV/0!</v>
      </c>
      <c r="AZ28" s="338" t="e">
        <f t="shared" si="11"/>
        <v>#DIV/0!</v>
      </c>
      <c r="BA28" s="342" t="e">
        <f t="shared" si="12"/>
        <v>#DIV/0!</v>
      </c>
      <c r="BC28" s="587"/>
      <c r="BD28" s="128"/>
      <c r="BE28" s="352">
        <f t="shared" si="13"/>
        <v>0</v>
      </c>
      <c r="BF28" s="80"/>
      <c r="BG28" s="346">
        <f>'8. PROGRAM PRICING'!$D$22</f>
        <v>0</v>
      </c>
      <c r="BH28" s="347">
        <f>'8. PROGRAM PRICING'!$D$23</f>
        <v>0</v>
      </c>
      <c r="BI28" s="130"/>
      <c r="BJ28" s="352">
        <f t="shared" si="14"/>
        <v>0</v>
      </c>
      <c r="BK28" s="426"/>
    </row>
    <row r="29" spans="2:66" s="9" customFormat="1">
      <c r="B29" s="430">
        <v>13</v>
      </c>
      <c r="C29" s="889" t="s">
        <v>84</v>
      </c>
      <c r="D29" s="59"/>
      <c r="E29" s="1555"/>
      <c r="F29" s="1556"/>
      <c r="G29" s="1556"/>
      <c r="H29" s="1556"/>
      <c r="I29" s="1556"/>
      <c r="J29" s="1557"/>
      <c r="K29" s="1091"/>
      <c r="L29" s="1562"/>
      <c r="M29" s="1556"/>
      <c r="N29" s="1556"/>
      <c r="O29" s="1556"/>
      <c r="P29" s="1556"/>
      <c r="Q29" s="1556"/>
      <c r="R29" s="1557"/>
      <c r="S29" s="889"/>
      <c r="T29" s="1567"/>
      <c r="U29" s="1568"/>
      <c r="V29" s="1568"/>
      <c r="W29" s="1568"/>
      <c r="X29" s="1568"/>
      <c r="Y29" s="1568"/>
      <c r="Z29" s="1568"/>
      <c r="AA29" s="1568"/>
      <c r="AB29" s="1568"/>
      <c r="AC29" s="1568"/>
      <c r="AD29" s="1568"/>
      <c r="AE29" s="1568"/>
      <c r="AF29" s="1568"/>
      <c r="AG29" s="1568"/>
      <c r="AH29" s="1568"/>
      <c r="AI29" s="1568"/>
      <c r="AJ29" s="1568"/>
      <c r="AK29" s="1568"/>
      <c r="AL29" s="1568"/>
      <c r="AM29" s="1568"/>
      <c r="AN29" s="1568"/>
      <c r="AO29" s="1568"/>
      <c r="AP29" s="1568"/>
      <c r="AQ29" s="1568"/>
      <c r="AR29" s="1568"/>
      <c r="AS29" s="1569"/>
      <c r="AT29" s="950">
        <f t="shared" si="15"/>
        <v>0</v>
      </c>
      <c r="AV29" s="337" t="e">
        <f t="shared" si="11"/>
        <v>#DIV/0!</v>
      </c>
      <c r="AW29" s="334" t="e">
        <f t="shared" si="11"/>
        <v>#DIV/0!</v>
      </c>
      <c r="AX29" s="334" t="e">
        <f t="shared" si="11"/>
        <v>#DIV/0!</v>
      </c>
      <c r="AY29" s="334" t="e">
        <f t="shared" si="11"/>
        <v>#DIV/0!</v>
      </c>
      <c r="AZ29" s="338" t="e">
        <f t="shared" si="11"/>
        <v>#DIV/0!</v>
      </c>
      <c r="BA29" s="342" t="e">
        <f t="shared" si="12"/>
        <v>#DIV/0!</v>
      </c>
      <c r="BC29" s="587"/>
      <c r="BD29" s="128"/>
      <c r="BE29" s="352">
        <f t="shared" si="13"/>
        <v>0</v>
      </c>
      <c r="BF29" s="80"/>
      <c r="BG29" s="346">
        <f>'8. PROGRAM PRICING'!$D$22</f>
        <v>0</v>
      </c>
      <c r="BH29" s="347">
        <f>'8. PROGRAM PRICING'!$D$23</f>
        <v>0</v>
      </c>
      <c r="BI29" s="130"/>
      <c r="BJ29" s="352">
        <f t="shared" si="14"/>
        <v>0</v>
      </c>
      <c r="BK29" s="426"/>
    </row>
    <row r="30" spans="2:66" s="9" customFormat="1">
      <c r="B30" s="430">
        <v>14</v>
      </c>
      <c r="C30" s="889" t="s">
        <v>84</v>
      </c>
      <c r="D30" s="59"/>
      <c r="E30" s="1555"/>
      <c r="F30" s="1556"/>
      <c r="G30" s="1556"/>
      <c r="H30" s="1556"/>
      <c r="I30" s="1556"/>
      <c r="J30" s="1557"/>
      <c r="K30" s="1091"/>
      <c r="L30" s="1562"/>
      <c r="M30" s="1556"/>
      <c r="N30" s="1556"/>
      <c r="O30" s="1556"/>
      <c r="P30" s="1556"/>
      <c r="Q30" s="1556"/>
      <c r="R30" s="1557"/>
      <c r="S30" s="889"/>
      <c r="T30" s="1567"/>
      <c r="U30" s="1568"/>
      <c r="V30" s="1568"/>
      <c r="W30" s="1568"/>
      <c r="X30" s="1568"/>
      <c r="Y30" s="1568"/>
      <c r="Z30" s="1568"/>
      <c r="AA30" s="1568"/>
      <c r="AB30" s="1568"/>
      <c r="AC30" s="1568"/>
      <c r="AD30" s="1568"/>
      <c r="AE30" s="1568"/>
      <c r="AF30" s="1568"/>
      <c r="AG30" s="1568"/>
      <c r="AH30" s="1568"/>
      <c r="AI30" s="1568"/>
      <c r="AJ30" s="1568"/>
      <c r="AK30" s="1568"/>
      <c r="AL30" s="1568"/>
      <c r="AM30" s="1568"/>
      <c r="AN30" s="1568"/>
      <c r="AO30" s="1568"/>
      <c r="AP30" s="1568"/>
      <c r="AQ30" s="1568"/>
      <c r="AR30" s="1568"/>
      <c r="AS30" s="1569"/>
      <c r="AT30" s="950">
        <f t="shared" si="15"/>
        <v>0</v>
      </c>
      <c r="AV30" s="337" t="e">
        <f t="shared" si="11"/>
        <v>#DIV/0!</v>
      </c>
      <c r="AW30" s="334" t="e">
        <f t="shared" si="11"/>
        <v>#DIV/0!</v>
      </c>
      <c r="AX30" s="334" t="e">
        <f t="shared" si="11"/>
        <v>#DIV/0!</v>
      </c>
      <c r="AY30" s="334" t="e">
        <f t="shared" si="11"/>
        <v>#DIV/0!</v>
      </c>
      <c r="AZ30" s="338" t="e">
        <f t="shared" si="11"/>
        <v>#DIV/0!</v>
      </c>
      <c r="BA30" s="342" t="e">
        <f t="shared" si="12"/>
        <v>#DIV/0!</v>
      </c>
      <c r="BC30" s="587"/>
      <c r="BD30" s="128"/>
      <c r="BE30" s="352">
        <f t="shared" si="13"/>
        <v>0</v>
      </c>
      <c r="BF30" s="80"/>
      <c r="BG30" s="346">
        <f>'8. PROGRAM PRICING'!$D$22</f>
        <v>0</v>
      </c>
      <c r="BH30" s="347">
        <f>'8. PROGRAM PRICING'!$D$23</f>
        <v>0</v>
      </c>
      <c r="BI30" s="130"/>
      <c r="BJ30" s="352">
        <f t="shared" si="14"/>
        <v>0</v>
      </c>
      <c r="BK30" s="426"/>
    </row>
    <row r="31" spans="2:66" s="9" customFormat="1">
      <c r="B31" s="430">
        <v>15</v>
      </c>
      <c r="C31" s="889" t="s">
        <v>83</v>
      </c>
      <c r="D31" s="59"/>
      <c r="E31" s="1555"/>
      <c r="F31" s="1556"/>
      <c r="G31" s="1556"/>
      <c r="H31" s="1556"/>
      <c r="I31" s="1556"/>
      <c r="J31" s="1557"/>
      <c r="K31" s="1091"/>
      <c r="L31" s="1562"/>
      <c r="M31" s="1556"/>
      <c r="N31" s="1556"/>
      <c r="O31" s="1556"/>
      <c r="P31" s="1556"/>
      <c r="Q31" s="1556"/>
      <c r="R31" s="1557"/>
      <c r="S31" s="889"/>
      <c r="T31" s="1567"/>
      <c r="U31" s="1568"/>
      <c r="V31" s="1568"/>
      <c r="W31" s="1568"/>
      <c r="X31" s="1568"/>
      <c r="Y31" s="1568"/>
      <c r="Z31" s="1568"/>
      <c r="AA31" s="1568"/>
      <c r="AB31" s="1568"/>
      <c r="AC31" s="1568"/>
      <c r="AD31" s="1568"/>
      <c r="AE31" s="1568"/>
      <c r="AF31" s="1568"/>
      <c r="AG31" s="1568"/>
      <c r="AH31" s="1568"/>
      <c r="AI31" s="1568"/>
      <c r="AJ31" s="1568"/>
      <c r="AK31" s="1568"/>
      <c r="AL31" s="1568"/>
      <c r="AM31" s="1568"/>
      <c r="AN31" s="1568"/>
      <c r="AO31" s="1568"/>
      <c r="AP31" s="1568"/>
      <c r="AQ31" s="1568"/>
      <c r="AR31" s="1568"/>
      <c r="AS31" s="1569"/>
      <c r="AT31" s="950">
        <f t="shared" si="15"/>
        <v>0</v>
      </c>
      <c r="AV31" s="337" t="e">
        <f t="shared" si="11"/>
        <v>#DIV/0!</v>
      </c>
      <c r="AW31" s="334" t="e">
        <f t="shared" si="11"/>
        <v>#DIV/0!</v>
      </c>
      <c r="AX31" s="334" t="e">
        <f t="shared" si="11"/>
        <v>#DIV/0!</v>
      </c>
      <c r="AY31" s="334" t="e">
        <f t="shared" si="11"/>
        <v>#DIV/0!</v>
      </c>
      <c r="AZ31" s="338" t="e">
        <f t="shared" si="11"/>
        <v>#DIV/0!</v>
      </c>
      <c r="BA31" s="342" t="e">
        <f t="shared" si="12"/>
        <v>#DIV/0!</v>
      </c>
      <c r="BC31" s="587"/>
      <c r="BD31" s="128"/>
      <c r="BE31" s="352">
        <f t="shared" si="13"/>
        <v>0</v>
      </c>
      <c r="BF31" s="80"/>
      <c r="BG31" s="346">
        <f>'8. PROGRAM PRICING'!$D$22</f>
        <v>0</v>
      </c>
      <c r="BH31" s="347">
        <f>'8. PROGRAM PRICING'!$D$23</f>
        <v>0</v>
      </c>
      <c r="BI31" s="130"/>
      <c r="BJ31" s="352">
        <f t="shared" si="14"/>
        <v>0</v>
      </c>
      <c r="BK31" s="426"/>
    </row>
    <row r="32" spans="2:66" s="9" customFormat="1">
      <c r="B32" s="430">
        <v>16</v>
      </c>
      <c r="C32" s="889" t="s">
        <v>83</v>
      </c>
      <c r="D32" s="59"/>
      <c r="E32" s="1555"/>
      <c r="F32" s="1556"/>
      <c r="G32" s="1556"/>
      <c r="H32" s="1556"/>
      <c r="I32" s="1556"/>
      <c r="J32" s="1557"/>
      <c r="K32" s="1091"/>
      <c r="L32" s="1562"/>
      <c r="M32" s="1556"/>
      <c r="N32" s="1556"/>
      <c r="O32" s="1556"/>
      <c r="P32" s="1556"/>
      <c r="Q32" s="1556"/>
      <c r="R32" s="1557"/>
      <c r="S32" s="889"/>
      <c r="T32" s="1567"/>
      <c r="U32" s="1568"/>
      <c r="V32" s="1568"/>
      <c r="W32" s="1568"/>
      <c r="X32" s="1568"/>
      <c r="Y32" s="1568"/>
      <c r="Z32" s="1568"/>
      <c r="AA32" s="1568"/>
      <c r="AB32" s="1568"/>
      <c r="AC32" s="1568"/>
      <c r="AD32" s="1568"/>
      <c r="AE32" s="1568"/>
      <c r="AF32" s="1568"/>
      <c r="AG32" s="1568"/>
      <c r="AH32" s="1568"/>
      <c r="AI32" s="1568"/>
      <c r="AJ32" s="1568"/>
      <c r="AK32" s="1568"/>
      <c r="AL32" s="1568"/>
      <c r="AM32" s="1568"/>
      <c r="AN32" s="1568"/>
      <c r="AO32" s="1568"/>
      <c r="AP32" s="1568"/>
      <c r="AQ32" s="1568"/>
      <c r="AR32" s="1568"/>
      <c r="AS32" s="1569"/>
      <c r="AT32" s="950">
        <f t="shared" si="15"/>
        <v>0</v>
      </c>
      <c r="AV32" s="337" t="e">
        <f t="shared" si="11"/>
        <v>#DIV/0!</v>
      </c>
      <c r="AW32" s="334" t="e">
        <f t="shared" si="11"/>
        <v>#DIV/0!</v>
      </c>
      <c r="AX32" s="334" t="e">
        <f t="shared" si="11"/>
        <v>#DIV/0!</v>
      </c>
      <c r="AY32" s="334" t="e">
        <f t="shared" si="11"/>
        <v>#DIV/0!</v>
      </c>
      <c r="AZ32" s="338" t="e">
        <f t="shared" si="11"/>
        <v>#DIV/0!</v>
      </c>
      <c r="BA32" s="342" t="e">
        <f t="shared" si="12"/>
        <v>#DIV/0!</v>
      </c>
      <c r="BC32" s="587"/>
      <c r="BD32" s="128"/>
      <c r="BE32" s="352">
        <f t="shared" si="13"/>
        <v>0</v>
      </c>
      <c r="BF32" s="80"/>
      <c r="BG32" s="346">
        <f>'8. PROGRAM PRICING'!$D$22</f>
        <v>0</v>
      </c>
      <c r="BH32" s="347">
        <f>'8. PROGRAM PRICING'!$D$23</f>
        <v>0</v>
      </c>
      <c r="BI32" s="130"/>
      <c r="BJ32" s="352">
        <f t="shared" si="14"/>
        <v>0</v>
      </c>
      <c r="BK32" s="426"/>
    </row>
    <row r="33" spans="2:63" s="9" customFormat="1">
      <c r="B33" s="430">
        <v>17</v>
      </c>
      <c r="C33" s="889" t="s">
        <v>70</v>
      </c>
      <c r="D33" s="59"/>
      <c r="E33" s="1555"/>
      <c r="F33" s="1556"/>
      <c r="G33" s="1556"/>
      <c r="H33" s="1556"/>
      <c r="I33" s="1556"/>
      <c r="J33" s="1557"/>
      <c r="K33" s="1091"/>
      <c r="L33" s="1562"/>
      <c r="M33" s="1556"/>
      <c r="N33" s="1556"/>
      <c r="O33" s="1556"/>
      <c r="P33" s="1556"/>
      <c r="Q33" s="1556"/>
      <c r="R33" s="1557"/>
      <c r="S33" s="889"/>
      <c r="T33" s="1567"/>
      <c r="U33" s="1568"/>
      <c r="V33" s="1568"/>
      <c r="W33" s="1568"/>
      <c r="X33" s="1568"/>
      <c r="Y33" s="1568"/>
      <c r="Z33" s="1568"/>
      <c r="AA33" s="1568"/>
      <c r="AB33" s="1568"/>
      <c r="AC33" s="1568"/>
      <c r="AD33" s="1568"/>
      <c r="AE33" s="1568"/>
      <c r="AF33" s="1568"/>
      <c r="AG33" s="1568"/>
      <c r="AH33" s="1568"/>
      <c r="AI33" s="1568"/>
      <c r="AJ33" s="1568"/>
      <c r="AK33" s="1568"/>
      <c r="AL33" s="1568"/>
      <c r="AM33" s="1568"/>
      <c r="AN33" s="1568"/>
      <c r="AO33" s="1568"/>
      <c r="AP33" s="1568"/>
      <c r="AQ33" s="1568"/>
      <c r="AR33" s="1568"/>
      <c r="AS33" s="1569"/>
      <c r="AT33" s="950">
        <f t="shared" si="15"/>
        <v>0</v>
      </c>
      <c r="AV33" s="337" t="e">
        <f t="shared" si="11"/>
        <v>#DIV/0!</v>
      </c>
      <c r="AW33" s="334" t="e">
        <f t="shared" si="11"/>
        <v>#DIV/0!</v>
      </c>
      <c r="AX33" s="334" t="e">
        <f t="shared" si="11"/>
        <v>#DIV/0!</v>
      </c>
      <c r="AY33" s="334" t="e">
        <f t="shared" si="11"/>
        <v>#DIV/0!</v>
      </c>
      <c r="AZ33" s="338" t="e">
        <f t="shared" si="11"/>
        <v>#DIV/0!</v>
      </c>
      <c r="BA33" s="342" t="e">
        <f t="shared" si="12"/>
        <v>#DIV/0!</v>
      </c>
      <c r="BC33" s="587"/>
      <c r="BD33" s="128"/>
      <c r="BE33" s="352">
        <f t="shared" si="13"/>
        <v>0</v>
      </c>
      <c r="BF33" s="80"/>
      <c r="BG33" s="346">
        <f>'8. PROGRAM PRICING'!$D$22</f>
        <v>0</v>
      </c>
      <c r="BH33" s="347">
        <f>'8. PROGRAM PRICING'!$D$23</f>
        <v>0</v>
      </c>
      <c r="BI33" s="130"/>
      <c r="BJ33" s="352">
        <f t="shared" si="14"/>
        <v>0</v>
      </c>
      <c r="BK33" s="426"/>
    </row>
    <row r="34" spans="2:63" s="9" customFormat="1">
      <c r="B34" s="430">
        <v>18</v>
      </c>
      <c r="C34" s="889" t="s">
        <v>70</v>
      </c>
      <c r="D34" s="59"/>
      <c r="E34" s="1555"/>
      <c r="F34" s="1556"/>
      <c r="G34" s="1556"/>
      <c r="H34" s="1556"/>
      <c r="I34" s="1556"/>
      <c r="J34" s="1557"/>
      <c r="K34" s="1091"/>
      <c r="L34" s="1562"/>
      <c r="M34" s="1556"/>
      <c r="N34" s="1556"/>
      <c r="O34" s="1556"/>
      <c r="P34" s="1556"/>
      <c r="Q34" s="1556"/>
      <c r="R34" s="1557"/>
      <c r="S34" s="889"/>
      <c r="T34" s="1567"/>
      <c r="U34" s="1568"/>
      <c r="V34" s="1568"/>
      <c r="W34" s="1568"/>
      <c r="X34" s="1568"/>
      <c r="Y34" s="1568"/>
      <c r="Z34" s="1568"/>
      <c r="AA34" s="1568"/>
      <c r="AB34" s="1568"/>
      <c r="AC34" s="1568"/>
      <c r="AD34" s="1568"/>
      <c r="AE34" s="1568"/>
      <c r="AF34" s="1568"/>
      <c r="AG34" s="1568"/>
      <c r="AH34" s="1568"/>
      <c r="AI34" s="1568"/>
      <c r="AJ34" s="1568"/>
      <c r="AK34" s="1568"/>
      <c r="AL34" s="1568"/>
      <c r="AM34" s="1568"/>
      <c r="AN34" s="1568"/>
      <c r="AO34" s="1568"/>
      <c r="AP34" s="1568"/>
      <c r="AQ34" s="1568"/>
      <c r="AR34" s="1568"/>
      <c r="AS34" s="1569"/>
      <c r="AT34" s="950">
        <f t="shared" si="15"/>
        <v>0</v>
      </c>
      <c r="AV34" s="337" t="e">
        <f t="shared" si="11"/>
        <v>#DIV/0!</v>
      </c>
      <c r="AW34" s="334" t="e">
        <f t="shared" si="11"/>
        <v>#DIV/0!</v>
      </c>
      <c r="AX34" s="334" t="e">
        <f t="shared" si="11"/>
        <v>#DIV/0!</v>
      </c>
      <c r="AY34" s="334" t="e">
        <f t="shared" si="11"/>
        <v>#DIV/0!</v>
      </c>
      <c r="AZ34" s="338" t="e">
        <f t="shared" si="11"/>
        <v>#DIV/0!</v>
      </c>
      <c r="BA34" s="342" t="e">
        <f t="shared" si="12"/>
        <v>#DIV/0!</v>
      </c>
      <c r="BC34" s="587"/>
      <c r="BD34" s="128"/>
      <c r="BE34" s="352">
        <f t="shared" si="13"/>
        <v>0</v>
      </c>
      <c r="BF34" s="80"/>
      <c r="BG34" s="346">
        <f>'8. PROGRAM PRICING'!$D$22</f>
        <v>0</v>
      </c>
      <c r="BH34" s="347">
        <f>'8. PROGRAM PRICING'!$D$23</f>
        <v>0</v>
      </c>
      <c r="BI34" s="130"/>
      <c r="BJ34" s="352">
        <f t="shared" si="14"/>
        <v>0</v>
      </c>
      <c r="BK34" s="426"/>
    </row>
    <row r="35" spans="2:63" s="9" customFormat="1">
      <c r="B35" s="430">
        <v>19</v>
      </c>
      <c r="C35" s="889" t="s">
        <v>70</v>
      </c>
      <c r="D35" s="59"/>
      <c r="E35" s="1555"/>
      <c r="F35" s="1556"/>
      <c r="G35" s="1556"/>
      <c r="H35" s="1556"/>
      <c r="I35" s="1556"/>
      <c r="J35" s="1557"/>
      <c r="K35" s="1091"/>
      <c r="L35" s="1562"/>
      <c r="M35" s="1556"/>
      <c r="N35" s="1556"/>
      <c r="O35" s="1556"/>
      <c r="P35" s="1556"/>
      <c r="Q35" s="1556"/>
      <c r="R35" s="1557"/>
      <c r="S35" s="889"/>
      <c r="T35" s="1567"/>
      <c r="U35" s="1568"/>
      <c r="V35" s="1568"/>
      <c r="W35" s="1568"/>
      <c r="X35" s="1568"/>
      <c r="Y35" s="1568"/>
      <c r="Z35" s="1568"/>
      <c r="AA35" s="1568"/>
      <c r="AB35" s="1568"/>
      <c r="AC35" s="1568"/>
      <c r="AD35" s="1568"/>
      <c r="AE35" s="1568"/>
      <c r="AF35" s="1568"/>
      <c r="AG35" s="1568"/>
      <c r="AH35" s="1568"/>
      <c r="AI35" s="1568"/>
      <c r="AJ35" s="1568"/>
      <c r="AK35" s="1568"/>
      <c r="AL35" s="1568"/>
      <c r="AM35" s="1568"/>
      <c r="AN35" s="1568"/>
      <c r="AO35" s="1568"/>
      <c r="AP35" s="1568"/>
      <c r="AQ35" s="1568"/>
      <c r="AR35" s="1568"/>
      <c r="AS35" s="1569"/>
      <c r="AT35" s="950">
        <f t="shared" si="15"/>
        <v>0</v>
      </c>
      <c r="AV35" s="337" t="e">
        <f t="shared" si="11"/>
        <v>#DIV/0!</v>
      </c>
      <c r="AW35" s="334" t="e">
        <f t="shared" si="11"/>
        <v>#DIV/0!</v>
      </c>
      <c r="AX35" s="334" t="e">
        <f t="shared" si="11"/>
        <v>#DIV/0!</v>
      </c>
      <c r="AY35" s="334" t="e">
        <f t="shared" si="11"/>
        <v>#DIV/0!</v>
      </c>
      <c r="AZ35" s="338" t="e">
        <f t="shared" si="11"/>
        <v>#DIV/0!</v>
      </c>
      <c r="BA35" s="342" t="e">
        <f t="shared" si="12"/>
        <v>#DIV/0!</v>
      </c>
      <c r="BC35" s="587"/>
      <c r="BD35" s="128"/>
      <c r="BE35" s="352">
        <f t="shared" si="13"/>
        <v>0</v>
      </c>
      <c r="BF35" s="80"/>
      <c r="BG35" s="346">
        <f>'8. PROGRAM PRICING'!$D$22</f>
        <v>0</v>
      </c>
      <c r="BH35" s="347">
        <f>'8. PROGRAM PRICING'!$D$23</f>
        <v>0</v>
      </c>
      <c r="BI35" s="130"/>
      <c r="BJ35" s="352">
        <f t="shared" si="14"/>
        <v>0</v>
      </c>
      <c r="BK35" s="426"/>
    </row>
    <row r="36" spans="2:63" s="9" customFormat="1" ht="15.75" thickBot="1">
      <c r="B36" s="431">
        <v>20</v>
      </c>
      <c r="C36" s="890" t="s">
        <v>70</v>
      </c>
      <c r="D36" s="59"/>
      <c r="E36" s="1558"/>
      <c r="F36" s="1559"/>
      <c r="G36" s="1559"/>
      <c r="H36" s="1559"/>
      <c r="I36" s="1559"/>
      <c r="J36" s="1560"/>
      <c r="K36" s="1092"/>
      <c r="L36" s="1563"/>
      <c r="M36" s="1559"/>
      <c r="N36" s="1559"/>
      <c r="O36" s="1559"/>
      <c r="P36" s="1559"/>
      <c r="Q36" s="1559"/>
      <c r="R36" s="1560"/>
      <c r="S36" s="890"/>
      <c r="T36" s="1570"/>
      <c r="U36" s="1571"/>
      <c r="V36" s="1571"/>
      <c r="W36" s="1571"/>
      <c r="X36" s="1571"/>
      <c r="Y36" s="1571"/>
      <c r="Z36" s="1571"/>
      <c r="AA36" s="1571"/>
      <c r="AB36" s="1571"/>
      <c r="AC36" s="1571"/>
      <c r="AD36" s="1571"/>
      <c r="AE36" s="1571"/>
      <c r="AF36" s="1571"/>
      <c r="AG36" s="1571"/>
      <c r="AH36" s="1571"/>
      <c r="AI36" s="1571"/>
      <c r="AJ36" s="1571"/>
      <c r="AK36" s="1571"/>
      <c r="AL36" s="1571"/>
      <c r="AM36" s="1571"/>
      <c r="AN36" s="1571"/>
      <c r="AO36" s="1571"/>
      <c r="AP36" s="1571"/>
      <c r="AQ36" s="1571"/>
      <c r="AR36" s="1571"/>
      <c r="AS36" s="1572"/>
      <c r="AT36" s="951">
        <f t="shared" si="15"/>
        <v>0</v>
      </c>
      <c r="AV36" s="339" t="e">
        <f t="shared" si="11"/>
        <v>#DIV/0!</v>
      </c>
      <c r="AW36" s="340" t="e">
        <f t="shared" si="11"/>
        <v>#DIV/0!</v>
      </c>
      <c r="AX36" s="340" t="e">
        <f t="shared" si="11"/>
        <v>#DIV/0!</v>
      </c>
      <c r="AY36" s="340" t="e">
        <f t="shared" si="11"/>
        <v>#DIV/0!</v>
      </c>
      <c r="AZ36" s="103" t="e">
        <f t="shared" si="11"/>
        <v>#DIV/0!</v>
      </c>
      <c r="BA36" s="343" t="e">
        <f t="shared" si="12"/>
        <v>#DIV/0!</v>
      </c>
      <c r="BC36" s="588"/>
      <c r="BD36" s="128"/>
      <c r="BE36" s="353">
        <f t="shared" si="13"/>
        <v>0</v>
      </c>
      <c r="BF36" s="80"/>
      <c r="BG36" s="348">
        <f>'8. PROGRAM PRICING'!$D$22</f>
        <v>0</v>
      </c>
      <c r="BH36" s="349">
        <f>'8. PROGRAM PRICING'!$D$23</f>
        <v>0</v>
      </c>
      <c r="BI36" s="130"/>
      <c r="BJ36" s="353">
        <f t="shared" si="14"/>
        <v>0</v>
      </c>
      <c r="BK36" s="426"/>
    </row>
    <row r="37" spans="2:63" ht="15" customHeight="1">
      <c r="AZ37" s="121"/>
      <c r="BA37" s="593"/>
      <c r="BB37" s="585"/>
      <c r="BC37" s="594">
        <f>SUM(BC27:BC36)-'1. KEY DATA'!E45</f>
        <v>0</v>
      </c>
      <c r="BD37" s="589"/>
      <c r="BH37" s="9"/>
      <c r="BI37" s="9"/>
      <c r="BJ37" s="9"/>
    </row>
    <row r="38" spans="2:63">
      <c r="B38" s="470"/>
      <c r="C38" s="470"/>
      <c r="D38" s="470"/>
      <c r="E38" s="470"/>
      <c r="F38" s="470"/>
      <c r="G38" s="470"/>
      <c r="H38" s="470"/>
      <c r="I38" s="470"/>
      <c r="J38" s="470"/>
      <c r="K38" s="470"/>
      <c r="L38" s="470"/>
      <c r="M38" s="470"/>
      <c r="N38" s="470"/>
      <c r="O38" s="470"/>
      <c r="P38" s="470"/>
      <c r="Q38" s="470"/>
      <c r="R38" s="470"/>
      <c r="S38" s="470"/>
      <c r="T38" s="470"/>
      <c r="U38" s="470"/>
      <c r="V38" s="470"/>
      <c r="W38" s="470"/>
      <c r="X38" s="470"/>
      <c r="Y38" s="470"/>
      <c r="Z38" s="470"/>
      <c r="AA38" s="470"/>
      <c r="AB38" s="470"/>
      <c r="AC38" s="470"/>
      <c r="AD38" s="470"/>
      <c r="AE38" s="470"/>
      <c r="AF38" s="470"/>
      <c r="AG38" s="470"/>
      <c r="AH38" s="470"/>
      <c r="AI38" s="470"/>
      <c r="AJ38" s="470"/>
      <c r="AK38" s="470"/>
      <c r="AL38" s="470"/>
      <c r="AM38" s="470"/>
      <c r="AN38" s="470"/>
      <c r="AO38" s="470"/>
      <c r="AP38" s="470"/>
      <c r="AQ38" s="470"/>
      <c r="AR38" s="470"/>
      <c r="AS38" s="470"/>
      <c r="AT38" s="470"/>
      <c r="AZ38" s="1574" t="s">
        <v>188</v>
      </c>
      <c r="BA38" s="1575"/>
      <c r="BB38" s="1575"/>
      <c r="BC38" s="1576"/>
      <c r="BD38" s="590"/>
      <c r="BH38" s="9"/>
      <c r="BI38" s="9"/>
      <c r="BJ38" s="9"/>
    </row>
    <row r="41" spans="2:63">
      <c r="C41" t="s">
        <v>222</v>
      </c>
    </row>
  </sheetData>
  <mergeCells count="62">
    <mergeCell ref="AW2:BA2"/>
    <mergeCell ref="BG8:BH9"/>
    <mergeCell ref="BJ8:BJ10"/>
    <mergeCell ref="BC9:BC10"/>
    <mergeCell ref="BE8:BE10"/>
    <mergeCell ref="AZ38:BC38"/>
    <mergeCell ref="BA8:BA10"/>
    <mergeCell ref="B25:C25"/>
    <mergeCell ref="B12:C12"/>
    <mergeCell ref="B8:B10"/>
    <mergeCell ref="C8:C10"/>
    <mergeCell ref="AV8:AZ8"/>
    <mergeCell ref="AQ8:AR8"/>
    <mergeCell ref="AT8:AT10"/>
    <mergeCell ref="I9:I10"/>
    <mergeCell ref="J9:J10"/>
    <mergeCell ref="S25:S26"/>
    <mergeCell ref="O9:O10"/>
    <mergeCell ref="P9:P10"/>
    <mergeCell ref="Q9:Q10"/>
    <mergeCell ref="AO8:AO10"/>
    <mergeCell ref="F9:G9"/>
    <mergeCell ref="H9:H10"/>
    <mergeCell ref="N9:N10"/>
    <mergeCell ref="AZ25:BC25"/>
    <mergeCell ref="F8:J8"/>
    <mergeCell ref="K8:K10"/>
    <mergeCell ref="L8:L10"/>
    <mergeCell ref="M8:M10"/>
    <mergeCell ref="N8:O8"/>
    <mergeCell ref="E8:E10"/>
    <mergeCell ref="E27:J36"/>
    <mergeCell ref="L27:R36"/>
    <mergeCell ref="T27:AS36"/>
    <mergeCell ref="AG9:AI9"/>
    <mergeCell ref="AJ9:AJ10"/>
    <mergeCell ref="AK9:AK10"/>
    <mergeCell ref="AL9:AL10"/>
    <mergeCell ref="AM9:AM10"/>
    <mergeCell ref="Z9:Z10"/>
    <mergeCell ref="AB9:AB10"/>
    <mergeCell ref="AC9:AC10"/>
    <mergeCell ref="AD9:AD10"/>
    <mergeCell ref="S9:S10"/>
    <mergeCell ref="AE9:AE10"/>
    <mergeCell ref="T9:U9"/>
    <mergeCell ref="M2:Q2"/>
    <mergeCell ref="M5:N5"/>
    <mergeCell ref="AN9:AN10"/>
    <mergeCell ref="AQ9:AQ10"/>
    <mergeCell ref="AR9:AR10"/>
    <mergeCell ref="V9:V10"/>
    <mergeCell ref="W9:W10"/>
    <mergeCell ref="X9:X10"/>
    <mergeCell ref="Y9:Y10"/>
    <mergeCell ref="AG7:AO7"/>
    <mergeCell ref="P8:Q8"/>
    <mergeCell ref="S8:V8"/>
    <mergeCell ref="W8:Z8"/>
    <mergeCell ref="AB8:AE8"/>
    <mergeCell ref="AG8:AK8"/>
    <mergeCell ref="AL8:AN8"/>
  </mergeCells>
  <dataValidations count="1">
    <dataValidation type="whole" allowBlank="1" showInputMessage="1" showErrorMessage="1" error="WHOLE NUMBER ONLY ALLOWED.  Do not enter fractional FTE.  Only actual number of employees at this pay rate is required as part-time hours are accounted for in the HOURS PER FORTNIGHT column." sqref="L14:L23">
      <formula1>0</formula1>
      <formula2>999</formula2>
    </dataValidation>
  </dataValidations>
  <pageMargins left="0.70866141732283472" right="0.70866141732283472" top="0.74803149606299213" bottom="0.74803149606299213" header="0.31496062992125984" footer="0.31496062992125984"/>
  <pageSetup paperSize="9" scale="23" orientation="landscape" r:id="rId1"/>
</worksheet>
</file>

<file path=xl/worksheets/sheet12.xml><?xml version="1.0" encoding="utf-8"?>
<worksheet xmlns="http://schemas.openxmlformats.org/spreadsheetml/2006/main" xmlns:r="http://schemas.openxmlformats.org/officeDocument/2006/relationships">
  <sheetPr>
    <tabColor theme="9" tint="-0.249977111117893"/>
  </sheetPr>
  <dimension ref="A1:O56"/>
  <sheetViews>
    <sheetView workbookViewId="0">
      <pane ySplit="10" topLeftCell="A11" activePane="bottomLeft" state="frozen"/>
      <selection pane="bottomLeft" activeCell="E12" sqref="E12"/>
    </sheetView>
  </sheetViews>
  <sheetFormatPr defaultRowHeight="15"/>
  <cols>
    <col min="2" max="2" width="27.7109375" customWidth="1"/>
    <col min="3" max="3" width="14.5703125" customWidth="1"/>
    <col min="4" max="4" width="11.42578125" customWidth="1"/>
    <col min="5" max="5" width="11.7109375" customWidth="1"/>
    <col min="6" max="6" width="8.5703125" customWidth="1"/>
    <col min="7" max="7" width="1.42578125" customWidth="1"/>
    <col min="8" max="8" width="13.42578125" customWidth="1"/>
    <col min="9" max="9" width="14.28515625" customWidth="1"/>
    <col min="10" max="10" width="1.28515625" style="6" customWidth="1"/>
    <col min="11" max="11" width="12.42578125" customWidth="1"/>
    <col min="12" max="12" width="13.5703125" customWidth="1"/>
    <col min="14" max="14" width="9.140625" customWidth="1"/>
    <col min="15" max="15" width="12.140625" customWidth="1"/>
    <col min="17" max="17" width="10.85546875" customWidth="1"/>
  </cols>
  <sheetData>
    <row r="1" spans="1:15" s="10" customFormat="1" ht="19.5" thickBot="1">
      <c r="A1" s="3">
        <f>'1. KEY DATA'!C3</f>
        <v>0</v>
      </c>
      <c r="B1"/>
      <c r="C1"/>
      <c r="D1"/>
      <c r="E1" s="7"/>
      <c r="F1" s="58"/>
      <c r="G1" s="58"/>
      <c r="M1"/>
      <c r="N1" s="86" t="s">
        <v>90</v>
      </c>
      <c r="O1" s="101">
        <f>'1. KEY DATA'!C4</f>
        <v>0</v>
      </c>
    </row>
    <row r="2" spans="1:15" s="10" customFormat="1" ht="18.75" customHeight="1">
      <c r="A2" s="3" t="s">
        <v>352</v>
      </c>
      <c r="B2" s="1"/>
      <c r="C2" s="1150">
        <f>'1. KEY DATA'!F6</f>
        <v>364</v>
      </c>
      <c r="E2" s="369"/>
      <c r="F2" s="369"/>
      <c r="G2" s="361"/>
      <c r="K2" s="1244" t="s">
        <v>152</v>
      </c>
      <c r="L2" s="1245"/>
      <c r="M2" s="1245"/>
      <c r="N2" s="1245"/>
      <c r="O2" s="1246"/>
    </row>
    <row r="3" spans="1:15" s="10" customFormat="1" ht="18" customHeight="1">
      <c r="A3" s="3"/>
      <c r="E3" s="370"/>
      <c r="F3" s="370"/>
      <c r="G3" s="362"/>
      <c r="K3" s="104"/>
      <c r="L3" s="114"/>
      <c r="M3" s="106" t="s">
        <v>153</v>
      </c>
      <c r="N3" s="107"/>
      <c r="O3" s="108"/>
    </row>
    <row r="4" spans="1:15" s="10" customFormat="1" ht="14.1" customHeight="1">
      <c r="A4" s="3"/>
      <c r="E4" s="58"/>
      <c r="F4" s="58"/>
      <c r="G4" s="58"/>
      <c r="K4" s="105"/>
      <c r="L4" s="117"/>
      <c r="M4" s="106" t="s">
        <v>161</v>
      </c>
      <c r="N4" s="107"/>
      <c r="O4" s="108"/>
    </row>
    <row r="5" spans="1:15" s="10" customFormat="1" ht="14.1" customHeight="1" thickBot="1">
      <c r="A5" s="3"/>
      <c r="G5" s="11"/>
      <c r="K5" s="1218"/>
      <c r="L5" s="1219"/>
      <c r="M5" s="109" t="s">
        <v>154</v>
      </c>
      <c r="N5" s="110"/>
      <c r="O5" s="111"/>
    </row>
    <row r="6" spans="1:15" s="10" customFormat="1" ht="21">
      <c r="B6" s="131" t="s">
        <v>204</v>
      </c>
      <c r="C6" s="131"/>
      <c r="G6" s="11"/>
      <c r="I6" s="88" t="s">
        <v>141</v>
      </c>
      <c r="J6" s="112"/>
    </row>
    <row r="7" spans="1:15" s="10" customFormat="1" ht="11.25" customHeight="1" thickBot="1">
      <c r="B7" s="89"/>
      <c r="C7" s="89"/>
      <c r="G7" s="11"/>
      <c r="I7" s="88"/>
      <c r="J7" s="112"/>
      <c r="K7" s="58"/>
      <c r="L7" s="58"/>
      <c r="M7" s="58"/>
    </row>
    <row r="8" spans="1:15" ht="15.75" thickBot="1">
      <c r="G8" s="6"/>
      <c r="H8" s="1599" t="s">
        <v>205</v>
      </c>
      <c r="I8" s="1600"/>
      <c r="J8" s="162"/>
      <c r="K8" s="1601"/>
      <c r="L8" s="1601"/>
      <c r="M8" s="7"/>
    </row>
    <row r="9" spans="1:15" s="9" customFormat="1" ht="64.5" customHeight="1" thickBot="1">
      <c r="B9" s="432" t="s">
        <v>9</v>
      </c>
      <c r="C9" s="100" t="s">
        <v>216</v>
      </c>
      <c r="D9" s="183" t="s">
        <v>96</v>
      </c>
      <c r="E9" s="381" t="s">
        <v>140</v>
      </c>
      <c r="F9" s="615" t="s">
        <v>260</v>
      </c>
      <c r="G9" s="363"/>
      <c r="H9" s="365" t="s">
        <v>156</v>
      </c>
      <c r="I9" s="366" t="s">
        <v>157</v>
      </c>
      <c r="J9" s="163"/>
      <c r="K9" s="164"/>
      <c r="L9" s="164"/>
      <c r="M9" s="59"/>
    </row>
    <row r="10" spans="1:15" s="9" customFormat="1" ht="4.5" customHeight="1" thickBot="1">
      <c r="B10" s="359"/>
      <c r="C10" s="359"/>
      <c r="D10" s="359"/>
      <c r="E10" s="383"/>
      <c r="F10" s="359"/>
      <c r="G10" s="164"/>
      <c r="H10" s="359"/>
      <c r="I10" s="359"/>
      <c r="J10" s="164"/>
      <c r="K10" s="164"/>
      <c r="L10" s="164"/>
      <c r="M10" s="59"/>
    </row>
    <row r="11" spans="1:15" s="9" customFormat="1">
      <c r="B11" s="433" t="s">
        <v>77</v>
      </c>
      <c r="C11" s="929"/>
      <c r="D11" s="930"/>
      <c r="E11" s="931"/>
      <c r="F11" s="932"/>
      <c r="G11" s="80"/>
      <c r="H11" s="937"/>
      <c r="I11" s="938"/>
      <c r="J11" s="372"/>
      <c r="K11" s="59"/>
      <c r="L11" s="375"/>
      <c r="M11" s="59"/>
    </row>
    <row r="12" spans="1:15" s="9" customFormat="1">
      <c r="B12" s="434">
        <f>'1. KEY DATA'!C34</f>
        <v>0</v>
      </c>
      <c r="C12" s="436"/>
      <c r="D12" s="437" t="e">
        <f>VLOOKUP(B12,'1. KEY DATA'!$C$34:$F$43,4,FALSE)</f>
        <v>#N/A</v>
      </c>
      <c r="E12" s="382" t="e">
        <f>'8. PROGRAM PRICING'!D26</f>
        <v>#VALUE!</v>
      </c>
      <c r="F12" s="360"/>
      <c r="G12" s="364"/>
      <c r="H12" s="367">
        <f>IF(F12&gt;0,F12*E12,0)</f>
        <v>0</v>
      </c>
      <c r="I12" s="920">
        <f>IF(F12&gt;0,(H12*52),0)</f>
        <v>0</v>
      </c>
      <c r="J12" s="373"/>
      <c r="K12" s="375"/>
      <c r="L12" s="376"/>
      <c r="M12" s="59"/>
    </row>
    <row r="13" spans="1:15" s="9" customFormat="1">
      <c r="B13" s="434">
        <f>'1. KEY DATA'!C35</f>
        <v>0</v>
      </c>
      <c r="C13" s="436"/>
      <c r="D13" s="437" t="e">
        <f>VLOOKUP(B13,'1. KEY DATA'!$C$34:$F$43,4,FALSE)</f>
        <v>#N/A</v>
      </c>
      <c r="E13" s="382" t="e">
        <f>'8. PROGRAM PRICING'!E26</f>
        <v>#VALUE!</v>
      </c>
      <c r="F13" s="360"/>
      <c r="G13" s="364"/>
      <c r="H13" s="367">
        <f t="shared" ref="H13:H21" si="0">IF(F13&gt;0,F13*E13,0)</f>
        <v>0</v>
      </c>
      <c r="I13" s="920">
        <f t="shared" ref="I13:I21" si="1">IF(F13&gt;0,(H13*52),0)</f>
        <v>0</v>
      </c>
      <c r="J13" s="373"/>
      <c r="K13" s="375"/>
      <c r="L13" s="376"/>
      <c r="M13" s="59"/>
    </row>
    <row r="14" spans="1:15" s="9" customFormat="1">
      <c r="B14" s="434">
        <f>'1. KEY DATA'!C36</f>
        <v>0</v>
      </c>
      <c r="C14" s="436"/>
      <c r="D14" s="437" t="e">
        <f>VLOOKUP(B14,'1. KEY DATA'!$C$34:$F$43,4,FALSE)</f>
        <v>#N/A</v>
      </c>
      <c r="E14" s="382" t="e">
        <f>'8. PROGRAM PRICING'!F26</f>
        <v>#VALUE!</v>
      </c>
      <c r="F14" s="360"/>
      <c r="G14" s="364"/>
      <c r="H14" s="367">
        <f t="shared" si="0"/>
        <v>0</v>
      </c>
      <c r="I14" s="920">
        <f t="shared" si="1"/>
        <v>0</v>
      </c>
      <c r="J14" s="373"/>
      <c r="K14" s="375"/>
      <c r="L14" s="376"/>
      <c r="M14" s="59"/>
    </row>
    <row r="15" spans="1:15" s="9" customFormat="1">
      <c r="B15" s="434">
        <f>'1. KEY DATA'!C37</f>
        <v>0</v>
      </c>
      <c r="C15" s="436"/>
      <c r="D15" s="437" t="e">
        <f>VLOOKUP(B15,'1. KEY DATA'!$C$34:$F$43,4,FALSE)</f>
        <v>#N/A</v>
      </c>
      <c r="E15" s="382" t="e">
        <f>'8. PROGRAM PRICING'!G26</f>
        <v>#VALUE!</v>
      </c>
      <c r="F15" s="360"/>
      <c r="G15" s="364"/>
      <c r="H15" s="367">
        <f t="shared" si="0"/>
        <v>0</v>
      </c>
      <c r="I15" s="920">
        <f t="shared" si="1"/>
        <v>0</v>
      </c>
      <c r="J15" s="373"/>
      <c r="K15" s="375"/>
      <c r="L15" s="376"/>
      <c r="M15" s="59"/>
    </row>
    <row r="16" spans="1:15" s="9" customFormat="1">
      <c r="B16" s="434">
        <f>'1. KEY DATA'!C38</f>
        <v>0</v>
      </c>
      <c r="C16" s="436"/>
      <c r="D16" s="437" t="e">
        <f>VLOOKUP(B16,'1. KEY DATA'!$C$34:$F$43,4,FALSE)</f>
        <v>#N/A</v>
      </c>
      <c r="E16" s="382" t="e">
        <f>'8. PROGRAM PRICING'!H26</f>
        <v>#VALUE!</v>
      </c>
      <c r="F16" s="360"/>
      <c r="G16" s="364"/>
      <c r="H16" s="367">
        <f t="shared" si="0"/>
        <v>0</v>
      </c>
      <c r="I16" s="920">
        <f t="shared" si="1"/>
        <v>0</v>
      </c>
      <c r="J16" s="373"/>
      <c r="K16" s="375"/>
      <c r="L16" s="376"/>
      <c r="M16" s="59"/>
    </row>
    <row r="17" spans="2:13" s="9" customFormat="1">
      <c r="B17" s="434">
        <f>'1. KEY DATA'!C39</f>
        <v>0</v>
      </c>
      <c r="C17" s="436"/>
      <c r="D17" s="437" t="e">
        <f>VLOOKUP(B17,'1. KEY DATA'!$C$34:$F$43,4,FALSE)</f>
        <v>#N/A</v>
      </c>
      <c r="E17" s="382" t="e">
        <f>'8. PROGRAM PRICING'!I26</f>
        <v>#VALUE!</v>
      </c>
      <c r="F17" s="360"/>
      <c r="G17" s="364"/>
      <c r="H17" s="367">
        <f t="shared" si="0"/>
        <v>0</v>
      </c>
      <c r="I17" s="920">
        <f t="shared" si="1"/>
        <v>0</v>
      </c>
      <c r="J17" s="373"/>
      <c r="K17" s="375"/>
      <c r="L17" s="376"/>
      <c r="M17" s="59"/>
    </row>
    <row r="18" spans="2:13" s="9" customFormat="1">
      <c r="B18" s="434">
        <f>'1. KEY DATA'!C40</f>
        <v>0</v>
      </c>
      <c r="C18" s="436"/>
      <c r="D18" s="437" t="e">
        <f>VLOOKUP(B18,'1. KEY DATA'!$C$34:$F$43,4,FALSE)</f>
        <v>#N/A</v>
      </c>
      <c r="E18" s="382" t="e">
        <f>'8. PROGRAM PRICING'!J26</f>
        <v>#VALUE!</v>
      </c>
      <c r="F18" s="360"/>
      <c r="G18" s="364"/>
      <c r="H18" s="367">
        <f t="shared" si="0"/>
        <v>0</v>
      </c>
      <c r="I18" s="920">
        <f t="shared" si="1"/>
        <v>0</v>
      </c>
      <c r="J18" s="373"/>
      <c r="K18" s="375"/>
      <c r="L18" s="376"/>
      <c r="M18" s="59"/>
    </row>
    <row r="19" spans="2:13" s="9" customFormat="1">
      <c r="B19" s="434">
        <f>'1. KEY DATA'!C41</f>
        <v>0</v>
      </c>
      <c r="C19" s="436"/>
      <c r="D19" s="437" t="e">
        <f>VLOOKUP(B19,'1. KEY DATA'!$C$34:$F$43,4,FALSE)</f>
        <v>#N/A</v>
      </c>
      <c r="E19" s="382" t="e">
        <f>'8. PROGRAM PRICING'!K26</f>
        <v>#VALUE!</v>
      </c>
      <c r="F19" s="360"/>
      <c r="G19" s="364"/>
      <c r="H19" s="367">
        <f t="shared" si="0"/>
        <v>0</v>
      </c>
      <c r="I19" s="920">
        <f t="shared" si="1"/>
        <v>0</v>
      </c>
      <c r="J19" s="373"/>
      <c r="K19" s="375"/>
      <c r="L19" s="376"/>
      <c r="M19" s="59"/>
    </row>
    <row r="20" spans="2:13" s="9" customFormat="1">
      <c r="B20" s="434">
        <f>'1. KEY DATA'!C42</f>
        <v>0</v>
      </c>
      <c r="C20" s="436"/>
      <c r="D20" s="437" t="e">
        <f>VLOOKUP(B20,'1. KEY DATA'!$C$34:$F$43,4,FALSE)</f>
        <v>#N/A</v>
      </c>
      <c r="E20" s="382" t="e">
        <f>'8. PROGRAM PRICING'!L26</f>
        <v>#VALUE!</v>
      </c>
      <c r="F20" s="360"/>
      <c r="G20" s="364"/>
      <c r="H20" s="367">
        <f t="shared" si="0"/>
        <v>0</v>
      </c>
      <c r="I20" s="920">
        <f t="shared" si="1"/>
        <v>0</v>
      </c>
      <c r="J20" s="373"/>
      <c r="K20" s="375"/>
      <c r="L20" s="376"/>
      <c r="M20" s="59"/>
    </row>
    <row r="21" spans="2:13" s="9" customFormat="1">
      <c r="B21" s="434">
        <f>'1. KEY DATA'!C43</f>
        <v>0</v>
      </c>
      <c r="C21" s="436"/>
      <c r="D21" s="437" t="e">
        <f>VLOOKUP(B21,'1. KEY DATA'!$C$34:$F$43,4,FALSE)</f>
        <v>#N/A</v>
      </c>
      <c r="E21" s="382" t="e">
        <f>'8. PROGRAM PRICING'!M26</f>
        <v>#VALUE!</v>
      </c>
      <c r="F21" s="360"/>
      <c r="G21" s="364"/>
      <c r="H21" s="367">
        <f t="shared" si="0"/>
        <v>0</v>
      </c>
      <c r="I21" s="920">
        <f t="shared" si="1"/>
        <v>0</v>
      </c>
      <c r="J21" s="373"/>
      <c r="K21" s="375"/>
      <c r="L21" s="376"/>
      <c r="M21" s="59"/>
    </row>
    <row r="22" spans="2:13" s="9" customFormat="1">
      <c r="B22" s="434"/>
      <c r="C22" s="436"/>
      <c r="D22" s="437"/>
      <c r="E22" s="382"/>
      <c r="F22" s="360"/>
      <c r="G22" s="364"/>
      <c r="H22" s="368"/>
      <c r="I22" s="920"/>
      <c r="J22" s="373"/>
      <c r="K22" s="59"/>
      <c r="L22" s="376"/>
      <c r="M22" s="59"/>
    </row>
    <row r="23" spans="2:13" s="9" customFormat="1">
      <c r="B23" s="435" t="s">
        <v>76</v>
      </c>
      <c r="C23" s="933"/>
      <c r="D23" s="934"/>
      <c r="E23" s="935"/>
      <c r="F23" s="360"/>
      <c r="G23" s="364"/>
      <c r="H23" s="939"/>
      <c r="I23" s="940"/>
      <c r="J23" s="373"/>
      <c r="K23" s="59"/>
      <c r="L23" s="376"/>
      <c r="M23" s="59"/>
    </row>
    <row r="24" spans="2:13" s="9" customFormat="1">
      <c r="B24" s="434" t="str">
        <f>'1. KEY DATA'!D54</f>
        <v>House 1</v>
      </c>
      <c r="C24" s="436"/>
      <c r="D24" s="437">
        <f>'1. KEY DATA'!F$46</f>
        <v>0</v>
      </c>
      <c r="E24" s="382">
        <f>'9. Accomm'!BA96</f>
        <v>0</v>
      </c>
      <c r="F24" s="360"/>
      <c r="G24" s="364"/>
      <c r="H24" s="367">
        <f t="shared" ref="H24:H38" si="2">IF(F24&gt;0,F24*E24,0)</f>
        <v>0</v>
      </c>
      <c r="I24" s="920">
        <f t="shared" ref="I24:I38" si="3">IF(F24&gt;0,(H24*52),0)</f>
        <v>0</v>
      </c>
      <c r="J24" s="373"/>
      <c r="K24" s="375"/>
      <c r="L24" s="376"/>
      <c r="M24" s="59"/>
    </row>
    <row r="25" spans="2:13" s="9" customFormat="1">
      <c r="B25" s="434" t="str">
        <f>'1. KEY DATA'!E54</f>
        <v>House 2</v>
      </c>
      <c r="C25" s="436"/>
      <c r="D25" s="437">
        <f>'1. KEY DATA'!F$46</f>
        <v>0</v>
      </c>
      <c r="E25" s="382">
        <f>'9. Accomm'!BB96</f>
        <v>0</v>
      </c>
      <c r="F25" s="360"/>
      <c r="G25" s="364"/>
      <c r="H25" s="367">
        <f t="shared" si="2"/>
        <v>0</v>
      </c>
      <c r="I25" s="920">
        <f t="shared" si="3"/>
        <v>0</v>
      </c>
      <c r="J25" s="373"/>
      <c r="K25" s="375"/>
      <c r="L25" s="376"/>
      <c r="M25" s="59"/>
    </row>
    <row r="26" spans="2:13" s="9" customFormat="1">
      <c r="B26" s="434" t="str">
        <f>'1. KEY DATA'!F54</f>
        <v>House 3</v>
      </c>
      <c r="C26" s="436"/>
      <c r="D26" s="437">
        <f>'1. KEY DATA'!F$46</f>
        <v>0</v>
      </c>
      <c r="E26" s="382">
        <f>'9. Accomm'!BC96</f>
        <v>0</v>
      </c>
      <c r="F26" s="360"/>
      <c r="G26" s="364"/>
      <c r="H26" s="367">
        <f t="shared" si="2"/>
        <v>0</v>
      </c>
      <c r="I26" s="920">
        <f t="shared" si="3"/>
        <v>0</v>
      </c>
      <c r="J26" s="373"/>
      <c r="K26" s="375"/>
      <c r="L26" s="376"/>
      <c r="M26" s="59"/>
    </row>
    <row r="27" spans="2:13" s="9" customFormat="1">
      <c r="B27" s="434" t="str">
        <f>'1. KEY DATA'!G54</f>
        <v>House 4</v>
      </c>
      <c r="C27" s="436"/>
      <c r="D27" s="437">
        <f>'1. KEY DATA'!F$46</f>
        <v>0</v>
      </c>
      <c r="E27" s="382">
        <f>'9. Accomm'!BD96</f>
        <v>0</v>
      </c>
      <c r="F27" s="360"/>
      <c r="G27" s="364"/>
      <c r="H27" s="367">
        <f t="shared" si="2"/>
        <v>0</v>
      </c>
      <c r="I27" s="920">
        <f t="shared" si="3"/>
        <v>0</v>
      </c>
      <c r="J27" s="373"/>
      <c r="K27" s="375"/>
      <c r="L27" s="376"/>
      <c r="M27" s="59"/>
    </row>
    <row r="28" spans="2:13" s="9" customFormat="1">
      <c r="B28" s="434" t="str">
        <f>'1. KEY DATA'!H54</f>
        <v>House 5</v>
      </c>
      <c r="C28" s="436"/>
      <c r="D28" s="437">
        <f>'1. KEY DATA'!F$46</f>
        <v>0</v>
      </c>
      <c r="E28" s="382">
        <f>'9. Accomm'!BE96</f>
        <v>0</v>
      </c>
      <c r="F28" s="360"/>
      <c r="G28" s="364"/>
      <c r="H28" s="367">
        <f t="shared" si="2"/>
        <v>0</v>
      </c>
      <c r="I28" s="920">
        <f t="shared" si="3"/>
        <v>0</v>
      </c>
      <c r="J28" s="373"/>
      <c r="K28" s="375"/>
      <c r="L28" s="376"/>
      <c r="M28" s="59"/>
    </row>
    <row r="29" spans="2:13" s="9" customFormat="1">
      <c r="B29" s="434" t="str">
        <f>'1. KEY DATA'!I54</f>
        <v>House 6</v>
      </c>
      <c r="C29" s="436"/>
      <c r="D29" s="437">
        <f>'1. KEY DATA'!F$46</f>
        <v>0</v>
      </c>
      <c r="E29" s="382">
        <f>'9. Accomm'!BF96</f>
        <v>0</v>
      </c>
      <c r="F29" s="360"/>
      <c r="G29" s="364"/>
      <c r="H29" s="367">
        <f t="shared" si="2"/>
        <v>0</v>
      </c>
      <c r="I29" s="920">
        <f t="shared" si="3"/>
        <v>0</v>
      </c>
      <c r="J29" s="373"/>
      <c r="K29" s="375"/>
      <c r="L29" s="376"/>
      <c r="M29" s="59"/>
    </row>
    <row r="30" spans="2:13" s="9" customFormat="1">
      <c r="B30" s="434" t="str">
        <f>'1. KEY DATA'!J54</f>
        <v>House 7</v>
      </c>
      <c r="C30" s="436"/>
      <c r="D30" s="437">
        <f>'1. KEY DATA'!F$46</f>
        <v>0</v>
      </c>
      <c r="E30" s="382">
        <f>'9. Accomm'!BG96</f>
        <v>0</v>
      </c>
      <c r="F30" s="360"/>
      <c r="G30" s="364"/>
      <c r="H30" s="367">
        <f t="shared" si="2"/>
        <v>0</v>
      </c>
      <c r="I30" s="920">
        <f t="shared" si="3"/>
        <v>0</v>
      </c>
      <c r="J30" s="373"/>
      <c r="K30" s="375"/>
      <c r="L30" s="376"/>
      <c r="M30" s="59"/>
    </row>
    <row r="31" spans="2:13" s="9" customFormat="1">
      <c r="B31" s="434" t="str">
        <f>'1. KEY DATA'!K54</f>
        <v>House 8</v>
      </c>
      <c r="C31" s="436"/>
      <c r="D31" s="437">
        <f>'1. KEY DATA'!F$46</f>
        <v>0</v>
      </c>
      <c r="E31" s="382">
        <f>'9. Accomm'!BH96</f>
        <v>0</v>
      </c>
      <c r="F31" s="360"/>
      <c r="G31" s="364"/>
      <c r="H31" s="367">
        <f t="shared" si="2"/>
        <v>0</v>
      </c>
      <c r="I31" s="920">
        <f t="shared" si="3"/>
        <v>0</v>
      </c>
      <c r="J31" s="373"/>
      <c r="K31" s="375"/>
      <c r="L31" s="376"/>
      <c r="M31" s="59"/>
    </row>
    <row r="32" spans="2:13" s="9" customFormat="1">
      <c r="B32" s="434" t="str">
        <f>'1. KEY DATA'!L54</f>
        <v>House 9</v>
      </c>
      <c r="C32" s="436"/>
      <c r="D32" s="437">
        <f>'1. KEY DATA'!F$46</f>
        <v>0</v>
      </c>
      <c r="E32" s="382">
        <f>'9. Accomm'!BI96</f>
        <v>0</v>
      </c>
      <c r="F32" s="360"/>
      <c r="G32" s="364"/>
      <c r="H32" s="367">
        <f t="shared" si="2"/>
        <v>0</v>
      </c>
      <c r="I32" s="920">
        <f t="shared" si="3"/>
        <v>0</v>
      </c>
      <c r="J32" s="373"/>
      <c r="K32" s="375"/>
      <c r="L32" s="376"/>
      <c r="M32" s="59"/>
    </row>
    <row r="33" spans="2:13" s="9" customFormat="1">
      <c r="B33" s="434" t="str">
        <f>'1. KEY DATA'!M54</f>
        <v>House 10</v>
      </c>
      <c r="C33" s="436"/>
      <c r="D33" s="437">
        <f>'1. KEY DATA'!F$46</f>
        <v>0</v>
      </c>
      <c r="E33" s="382">
        <f>'9. Accomm'!BJ96</f>
        <v>0</v>
      </c>
      <c r="F33" s="360"/>
      <c r="G33" s="364"/>
      <c r="H33" s="367">
        <f t="shared" si="2"/>
        <v>0</v>
      </c>
      <c r="I33" s="920">
        <f t="shared" si="3"/>
        <v>0</v>
      </c>
      <c r="J33" s="373"/>
      <c r="K33" s="375"/>
      <c r="L33" s="376"/>
      <c r="M33" s="59"/>
    </row>
    <row r="34" spans="2:13" s="9" customFormat="1">
      <c r="B34" s="434" t="str">
        <f>'1. KEY DATA'!N54</f>
        <v>House 11</v>
      </c>
      <c r="C34" s="436"/>
      <c r="D34" s="437">
        <f>'1. KEY DATA'!F$46</f>
        <v>0</v>
      </c>
      <c r="E34" s="382">
        <f>'9. Accomm'!BK96</f>
        <v>0</v>
      </c>
      <c r="F34" s="360"/>
      <c r="G34" s="364"/>
      <c r="H34" s="367">
        <f t="shared" si="2"/>
        <v>0</v>
      </c>
      <c r="I34" s="920">
        <f t="shared" si="3"/>
        <v>0</v>
      </c>
      <c r="J34" s="373"/>
      <c r="K34" s="375"/>
      <c r="L34" s="376"/>
      <c r="M34" s="59"/>
    </row>
    <row r="35" spans="2:13" s="9" customFormat="1">
      <c r="B35" s="434" t="str">
        <f>'1. KEY DATA'!O54</f>
        <v>House 12</v>
      </c>
      <c r="C35" s="436"/>
      <c r="D35" s="437">
        <f>'1. KEY DATA'!F$46</f>
        <v>0</v>
      </c>
      <c r="E35" s="382">
        <f>'9. Accomm'!BL96</f>
        <v>0</v>
      </c>
      <c r="F35" s="360"/>
      <c r="G35" s="364"/>
      <c r="H35" s="367">
        <f t="shared" si="2"/>
        <v>0</v>
      </c>
      <c r="I35" s="920">
        <f t="shared" si="3"/>
        <v>0</v>
      </c>
      <c r="J35" s="373"/>
      <c r="K35" s="375"/>
      <c r="L35" s="376"/>
      <c r="M35" s="59"/>
    </row>
    <row r="36" spans="2:13" s="9" customFormat="1">
      <c r="B36" s="434" t="str">
        <f>'1. KEY DATA'!P54</f>
        <v>House 13</v>
      </c>
      <c r="C36" s="436"/>
      <c r="D36" s="437">
        <f>'1. KEY DATA'!F$46</f>
        <v>0</v>
      </c>
      <c r="E36" s="382">
        <f>'9. Accomm'!BM96</f>
        <v>0</v>
      </c>
      <c r="F36" s="360"/>
      <c r="G36" s="364"/>
      <c r="H36" s="367">
        <f t="shared" si="2"/>
        <v>0</v>
      </c>
      <c r="I36" s="920">
        <f t="shared" si="3"/>
        <v>0</v>
      </c>
      <c r="J36" s="373"/>
      <c r="K36" s="375"/>
      <c r="L36" s="376"/>
      <c r="M36" s="59"/>
    </row>
    <row r="37" spans="2:13" s="9" customFormat="1">
      <c r="B37" s="434" t="str">
        <f>'1. KEY DATA'!Q54</f>
        <v>House 14</v>
      </c>
      <c r="C37" s="436"/>
      <c r="D37" s="437">
        <f>'1. KEY DATA'!F$46</f>
        <v>0</v>
      </c>
      <c r="E37" s="382">
        <f>'9. Accomm'!BN96</f>
        <v>0</v>
      </c>
      <c r="F37" s="360"/>
      <c r="G37" s="364"/>
      <c r="H37" s="367">
        <f t="shared" si="2"/>
        <v>0</v>
      </c>
      <c r="I37" s="920">
        <f t="shared" si="3"/>
        <v>0</v>
      </c>
      <c r="J37" s="373"/>
      <c r="K37" s="375"/>
      <c r="L37" s="376"/>
      <c r="M37" s="59"/>
    </row>
    <row r="38" spans="2:13" s="9" customFormat="1">
      <c r="B38" s="434" t="str">
        <f>'1. KEY DATA'!R54</f>
        <v>House 15</v>
      </c>
      <c r="C38" s="436"/>
      <c r="D38" s="437">
        <f>'1. KEY DATA'!F$46</f>
        <v>0</v>
      </c>
      <c r="E38" s="382">
        <f>'9. Accomm'!BO96</f>
        <v>0</v>
      </c>
      <c r="F38" s="360"/>
      <c r="G38" s="364"/>
      <c r="H38" s="367">
        <f t="shared" si="2"/>
        <v>0</v>
      </c>
      <c r="I38" s="920">
        <f t="shared" si="3"/>
        <v>0</v>
      </c>
      <c r="J38" s="373"/>
      <c r="K38" s="375"/>
      <c r="L38" s="376"/>
      <c r="M38" s="59"/>
    </row>
    <row r="39" spans="2:13" s="9" customFormat="1">
      <c r="B39" s="434"/>
      <c r="C39" s="436"/>
      <c r="D39" s="437"/>
      <c r="E39" s="382"/>
      <c r="F39" s="360"/>
      <c r="G39" s="364"/>
      <c r="H39" s="368"/>
      <c r="I39" s="920"/>
      <c r="J39" s="373"/>
      <c r="K39" s="59"/>
      <c r="L39" s="376"/>
      <c r="M39" s="59"/>
    </row>
    <row r="40" spans="2:13" s="9" customFormat="1">
      <c r="B40" s="435" t="s">
        <v>214</v>
      </c>
      <c r="C40" s="936"/>
      <c r="D40" s="934"/>
      <c r="E40" s="935"/>
      <c r="F40" s="360"/>
      <c r="G40" s="364"/>
      <c r="H40" s="939"/>
      <c r="I40" s="940"/>
      <c r="J40" s="373"/>
      <c r="K40" s="59"/>
      <c r="L40" s="376"/>
      <c r="M40" s="59"/>
    </row>
    <row r="41" spans="2:13" s="9" customFormat="1">
      <c r="B41" s="434" t="s">
        <v>73</v>
      </c>
      <c r="C41" s="401">
        <v>1</v>
      </c>
      <c r="D41" s="437">
        <f>'1. KEY DATA'!$F$44</f>
        <v>0</v>
      </c>
      <c r="E41" s="919">
        <f>VLOOKUP($C41,'10. Health Professionals'!$B$14:$BM$36,61,FALSE)</f>
        <v>0</v>
      </c>
      <c r="F41" s="360"/>
      <c r="G41" s="364"/>
      <c r="H41" s="367">
        <f t="shared" ref="H41:H48" si="4">IF(F41&gt;0,F41*E41,0)</f>
        <v>0</v>
      </c>
      <c r="I41" s="920">
        <f t="shared" ref="I41:I48" si="5">IF(F41&gt;0,(H41*52),0)</f>
        <v>0</v>
      </c>
      <c r="J41" s="373"/>
      <c r="K41" s="375"/>
      <c r="L41" s="376"/>
      <c r="M41" s="59"/>
    </row>
    <row r="42" spans="2:13" s="9" customFormat="1">
      <c r="B42" s="434" t="s">
        <v>84</v>
      </c>
      <c r="C42" s="401">
        <v>2</v>
      </c>
      <c r="D42" s="437">
        <f>'1. KEY DATA'!$F$44</f>
        <v>0</v>
      </c>
      <c r="E42" s="919">
        <f>VLOOKUP($C42,'10. Health Professionals'!$B$14:$BM$36,61,FALSE)</f>
        <v>0</v>
      </c>
      <c r="F42" s="360"/>
      <c r="G42" s="364"/>
      <c r="H42" s="367">
        <f t="shared" si="4"/>
        <v>0</v>
      </c>
      <c r="I42" s="920">
        <f t="shared" si="5"/>
        <v>0</v>
      </c>
      <c r="J42" s="373"/>
      <c r="K42" s="375"/>
      <c r="L42" s="376"/>
      <c r="M42" s="59"/>
    </row>
    <row r="43" spans="2:13" s="9" customFormat="1">
      <c r="B43" s="434" t="s">
        <v>83</v>
      </c>
      <c r="C43" s="401">
        <v>3</v>
      </c>
      <c r="D43" s="437">
        <f>'1. KEY DATA'!$F$44</f>
        <v>0</v>
      </c>
      <c r="E43" s="919">
        <f>VLOOKUP($C43,'10. Health Professionals'!$B$14:$BM$36,61,FALSE)</f>
        <v>0</v>
      </c>
      <c r="F43" s="360"/>
      <c r="G43" s="364"/>
      <c r="H43" s="367">
        <f t="shared" si="4"/>
        <v>0</v>
      </c>
      <c r="I43" s="920">
        <f t="shared" si="5"/>
        <v>0</v>
      </c>
      <c r="J43" s="373"/>
      <c r="K43" s="375"/>
      <c r="L43" s="376"/>
      <c r="M43" s="59"/>
    </row>
    <row r="44" spans="2:13" s="9" customFormat="1">
      <c r="B44" s="434" t="str">
        <f>'10. Health Professionals'!C20</f>
        <v>&lt;Additional&gt;</v>
      </c>
      <c r="C44" s="401">
        <v>4</v>
      </c>
      <c r="D44" s="437">
        <f>'1. KEY DATA'!$F$44</f>
        <v>0</v>
      </c>
      <c r="E44" s="919">
        <f>VLOOKUP($C44,'10. Health Professionals'!$B$14:$BM$36,61,FALSE)</f>
        <v>0</v>
      </c>
      <c r="F44" s="360"/>
      <c r="G44" s="364"/>
      <c r="H44" s="367">
        <f t="shared" si="4"/>
        <v>0</v>
      </c>
      <c r="I44" s="920">
        <f t="shared" si="5"/>
        <v>0</v>
      </c>
      <c r="J44" s="373"/>
      <c r="K44" s="375"/>
      <c r="L44" s="376"/>
      <c r="M44" s="59"/>
    </row>
    <row r="45" spans="2:13" s="9" customFormat="1">
      <c r="B45" s="434" t="str">
        <f>'10. Health Professionals'!C21</f>
        <v>&lt;Additional&gt;</v>
      </c>
      <c r="C45" s="401">
        <v>5</v>
      </c>
      <c r="D45" s="437">
        <f>'1. KEY DATA'!$F$44</f>
        <v>0</v>
      </c>
      <c r="E45" s="919">
        <f>VLOOKUP($C45,'10. Health Professionals'!$B$14:$BM$36,61,FALSE)</f>
        <v>0</v>
      </c>
      <c r="F45" s="360"/>
      <c r="G45" s="364"/>
      <c r="H45" s="367">
        <f t="shared" si="4"/>
        <v>0</v>
      </c>
      <c r="I45" s="920">
        <f t="shared" si="5"/>
        <v>0</v>
      </c>
      <c r="J45" s="373"/>
      <c r="K45" s="375"/>
      <c r="L45" s="376"/>
      <c r="M45" s="59"/>
    </row>
    <row r="46" spans="2:13" s="9" customFormat="1">
      <c r="B46" s="434" t="str">
        <f>'10. Health Professionals'!C22</f>
        <v>&lt;Additional&gt;</v>
      </c>
      <c r="C46" s="401">
        <v>6</v>
      </c>
      <c r="D46" s="437">
        <f>'1. KEY DATA'!$F$44</f>
        <v>0</v>
      </c>
      <c r="E46" s="919">
        <f>VLOOKUP($C46,'10. Health Professionals'!$B$14:$BM$36,61,FALSE)</f>
        <v>0</v>
      </c>
      <c r="F46" s="360"/>
      <c r="G46" s="364"/>
      <c r="H46" s="367">
        <f t="shared" si="4"/>
        <v>0</v>
      </c>
      <c r="I46" s="920">
        <f t="shared" si="5"/>
        <v>0</v>
      </c>
      <c r="J46" s="373"/>
      <c r="K46" s="375"/>
      <c r="L46" s="376"/>
      <c r="M46" s="59"/>
    </row>
    <row r="47" spans="2:13" s="9" customFormat="1">
      <c r="B47" s="434" t="str">
        <f>'10. Health Professionals'!C23</f>
        <v>&lt;Additional&gt;</v>
      </c>
      <c r="C47" s="401">
        <v>7</v>
      </c>
      <c r="D47" s="437">
        <f>'1. KEY DATA'!$F$44</f>
        <v>0</v>
      </c>
      <c r="E47" s="919">
        <f>VLOOKUP($C47,'10. Health Professionals'!$B$14:$BM$36,61,FALSE)</f>
        <v>0</v>
      </c>
      <c r="F47" s="360"/>
      <c r="G47" s="364"/>
      <c r="H47" s="367">
        <f t="shared" si="4"/>
        <v>0</v>
      </c>
      <c r="I47" s="920">
        <f t="shared" si="5"/>
        <v>0</v>
      </c>
      <c r="J47" s="373"/>
      <c r="K47" s="375"/>
      <c r="L47" s="376"/>
      <c r="M47" s="59"/>
    </row>
    <row r="48" spans="2:13" s="9" customFormat="1">
      <c r="B48" s="434"/>
      <c r="C48" s="401">
        <v>8</v>
      </c>
      <c r="D48" s="922">
        <f>'1. KEY DATA'!$F$44</f>
        <v>0</v>
      </c>
      <c r="E48" s="919">
        <f>VLOOKUP($C48,'10. Health Professionals'!$B$14:$BM$36,61,FALSE)</f>
        <v>0</v>
      </c>
      <c r="F48" s="360"/>
      <c r="G48" s="364"/>
      <c r="H48" s="367">
        <f t="shared" si="4"/>
        <v>0</v>
      </c>
      <c r="I48" s="920">
        <f t="shared" si="5"/>
        <v>0</v>
      </c>
      <c r="J48" s="373"/>
      <c r="K48" s="59"/>
      <c r="L48" s="376"/>
      <c r="M48" s="59"/>
    </row>
    <row r="49" spans="2:13" s="9" customFormat="1">
      <c r="B49" s="435" t="s">
        <v>344</v>
      </c>
      <c r="C49" s="438"/>
      <c r="D49" s="898"/>
      <c r="E49" s="924"/>
      <c r="F49" s="926"/>
      <c r="G49" s="364"/>
      <c r="H49" s="939"/>
      <c r="I49" s="940"/>
      <c r="J49" s="373"/>
      <c r="K49" s="59"/>
      <c r="L49" s="376"/>
      <c r="M49" s="59"/>
    </row>
    <row r="50" spans="2:13" s="9" customFormat="1">
      <c r="B50" s="1511" t="s">
        <v>70</v>
      </c>
      <c r="C50" s="1602"/>
      <c r="D50" s="1270"/>
      <c r="E50" s="923"/>
      <c r="F50" s="925"/>
      <c r="G50" s="364"/>
      <c r="H50" s="367">
        <f>IF(F50&gt;0,F50*E50,0)</f>
        <v>0</v>
      </c>
      <c r="I50" s="920">
        <f>IF(F50&gt;0,(H50*52),0)</f>
        <v>0</v>
      </c>
      <c r="J50" s="373"/>
      <c r="K50" s="375"/>
      <c r="L50" s="376"/>
      <c r="M50" s="59"/>
    </row>
    <row r="51" spans="2:13" s="9" customFormat="1">
      <c r="B51" s="1511" t="s">
        <v>70</v>
      </c>
      <c r="C51" s="1602"/>
      <c r="D51" s="1270"/>
      <c r="E51" s="923"/>
      <c r="F51" s="360"/>
      <c r="G51" s="364"/>
      <c r="H51" s="367">
        <f>IF(F51&gt;0,F51*E51,0)</f>
        <v>0</v>
      </c>
      <c r="I51" s="920">
        <f>IF(F51&gt;0,(H51*52),0)</f>
        <v>0</v>
      </c>
      <c r="J51" s="373"/>
      <c r="K51" s="375"/>
      <c r="L51" s="376"/>
      <c r="M51" s="59"/>
    </row>
    <row r="52" spans="2:13" s="9" customFormat="1">
      <c r="B52" s="1511" t="s">
        <v>70</v>
      </c>
      <c r="C52" s="1602"/>
      <c r="D52" s="1270"/>
      <c r="E52" s="923"/>
      <c r="F52" s="360"/>
      <c r="G52" s="364"/>
      <c r="H52" s="367">
        <f>IF(F52&gt;0,F52*E52,0)</f>
        <v>0</v>
      </c>
      <c r="I52" s="920">
        <f>IF(F52&gt;0,(H52*52),0)</f>
        <v>0</v>
      </c>
      <c r="J52" s="373"/>
      <c r="K52" s="375"/>
      <c r="L52" s="376"/>
      <c r="M52" s="59"/>
    </row>
    <row r="53" spans="2:13" s="9" customFormat="1">
      <c r="B53" s="1511" t="s">
        <v>70</v>
      </c>
      <c r="C53" s="1602"/>
      <c r="D53" s="1270"/>
      <c r="E53" s="923"/>
      <c r="F53" s="928"/>
      <c r="G53" s="364"/>
      <c r="H53" s="367">
        <f>IF(F53&gt;0,F53*E53,0)</f>
        <v>0</v>
      </c>
      <c r="I53" s="920">
        <f>IF(F53&gt;0,(H53*52),0)</f>
        <v>0</v>
      </c>
      <c r="J53" s="373"/>
      <c r="K53" s="59"/>
      <c r="L53" s="376"/>
      <c r="M53" s="59"/>
    </row>
    <row r="54" spans="2:13" s="9" customFormat="1" ht="15.75" thickBot="1">
      <c r="B54" s="1502" t="s">
        <v>70</v>
      </c>
      <c r="C54" s="1598"/>
      <c r="D54" s="1272"/>
      <c r="E54" s="943"/>
      <c r="F54" s="944"/>
      <c r="G54" s="364"/>
      <c r="H54" s="947">
        <f>IF(F54&gt;0,F54*E54,0)</f>
        <v>0</v>
      </c>
      <c r="I54" s="948">
        <f>IF(F54&gt;0,(H54*52),0)</f>
        <v>0</v>
      </c>
      <c r="J54" s="373"/>
      <c r="K54" s="59"/>
      <c r="L54" s="376"/>
      <c r="M54" s="59"/>
    </row>
    <row r="55" spans="2:13" s="9" customFormat="1" ht="15.75" thickBot="1">
      <c r="B55" s="941" t="s">
        <v>81</v>
      </c>
      <c r="C55" s="439"/>
      <c r="D55" s="371"/>
      <c r="E55" s="942"/>
      <c r="F55" s="927"/>
      <c r="G55" s="364"/>
      <c r="H55" s="945">
        <f>SUM(H11:H54)</f>
        <v>0</v>
      </c>
      <c r="I55" s="946">
        <f>SUM(I11:I54)</f>
        <v>0</v>
      </c>
      <c r="J55" s="374"/>
      <c r="K55" s="377"/>
      <c r="L55" s="378"/>
      <c r="M55" s="59"/>
    </row>
    <row r="56" spans="2:13">
      <c r="G56" s="6"/>
      <c r="K56" s="7"/>
      <c r="L56" s="7"/>
      <c r="M56" s="7"/>
    </row>
  </sheetData>
  <mergeCells count="9">
    <mergeCell ref="B54:D54"/>
    <mergeCell ref="H8:I8"/>
    <mergeCell ref="K8:L8"/>
    <mergeCell ref="K2:O2"/>
    <mergeCell ref="B50:D50"/>
    <mergeCell ref="B51:D51"/>
    <mergeCell ref="B52:D52"/>
    <mergeCell ref="B53:D53"/>
    <mergeCell ref="K5:L5"/>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sheetPr>
    <tabColor rgb="FF00B050"/>
    <pageSetUpPr fitToPage="1"/>
  </sheetPr>
  <dimension ref="A1:Q44"/>
  <sheetViews>
    <sheetView workbookViewId="0">
      <pane ySplit="13" topLeftCell="A14" activePane="bottomLeft" state="frozen"/>
      <selection pane="bottomLeft" activeCell="B37" sqref="B37"/>
    </sheetView>
  </sheetViews>
  <sheetFormatPr defaultRowHeight="15"/>
  <cols>
    <col min="2" max="2" width="46.28515625" customWidth="1"/>
    <col min="3" max="3" width="16.5703125" customWidth="1"/>
    <col min="4" max="4" width="5.140625" customWidth="1"/>
    <col min="5" max="5" width="49.140625" customWidth="1"/>
    <col min="6" max="6" width="16.42578125" customWidth="1"/>
    <col min="7" max="7" width="11" bestFit="1" customWidth="1"/>
    <col min="11" max="11" width="11" customWidth="1"/>
  </cols>
  <sheetData>
    <row r="1" spans="1:17" s="10" customFormat="1" ht="19.5" thickBot="1">
      <c r="A1" s="3">
        <f>'1. KEY DATA'!C3</f>
        <v>0</v>
      </c>
      <c r="B1" s="85"/>
      <c r="J1" s="86" t="s">
        <v>90</v>
      </c>
      <c r="K1" s="101">
        <f>'1. KEY DATA'!C4</f>
        <v>0</v>
      </c>
    </row>
    <row r="2" spans="1:17" s="10" customFormat="1" ht="18.75">
      <c r="A2" s="3" t="s">
        <v>352</v>
      </c>
      <c r="B2" s="1"/>
      <c r="C2" s="1150">
        <f>'1. KEY DATA'!F6</f>
        <v>364</v>
      </c>
      <c r="G2" s="1244" t="s">
        <v>152</v>
      </c>
      <c r="H2" s="1245"/>
      <c r="I2" s="1245"/>
      <c r="J2" s="1245"/>
      <c r="K2" s="1246"/>
    </row>
    <row r="3" spans="1:17" s="10" customFormat="1" ht="14.1" customHeight="1">
      <c r="G3" s="104"/>
      <c r="H3" s="114"/>
      <c r="I3" s="106" t="s">
        <v>153</v>
      </c>
      <c r="J3" s="107"/>
      <c r="K3" s="108"/>
    </row>
    <row r="4" spans="1:17" s="10" customFormat="1" ht="14.1" customHeight="1">
      <c r="G4" s="105"/>
      <c r="H4" s="117"/>
      <c r="I4" s="106" t="s">
        <v>161</v>
      </c>
      <c r="J4" s="107"/>
      <c r="K4" s="108"/>
    </row>
    <row r="5" spans="1:17" s="10" customFormat="1" ht="14.1" customHeight="1" thickBot="1">
      <c r="G5" s="1218"/>
      <c r="H5" s="1219"/>
      <c r="I5" s="109" t="s">
        <v>154</v>
      </c>
      <c r="J5" s="110"/>
      <c r="K5" s="111"/>
    </row>
    <row r="6" spans="1:17" s="10" customFormat="1" ht="9" customHeight="1" thickBot="1">
      <c r="B6" s="89"/>
    </row>
    <row r="7" spans="1:17" s="10" customFormat="1" ht="21" customHeight="1" thickBot="1">
      <c r="B7" s="131" t="s">
        <v>142</v>
      </c>
      <c r="D7" s="60"/>
      <c r="E7" s="501" t="s">
        <v>160</v>
      </c>
      <c r="F7" s="916">
        <f>SUM(C7:C40)</f>
        <v>0</v>
      </c>
      <c r="G7" s="61"/>
      <c r="H7" s="61"/>
      <c r="I7" s="61"/>
      <c r="J7" s="61"/>
      <c r="K7" s="61"/>
      <c r="L7" s="59"/>
      <c r="M7" s="59"/>
      <c r="N7" s="59"/>
      <c r="O7" s="59"/>
      <c r="P7" s="59"/>
      <c r="Q7" s="59"/>
    </row>
    <row r="8" spans="1:17" s="10" customFormat="1" ht="5.25" customHeight="1" thickBot="1">
      <c r="D8" s="60"/>
      <c r="E8" s="89"/>
      <c r="F8" s="3"/>
      <c r="G8" s="61"/>
      <c r="H8" s="61"/>
      <c r="I8" s="61"/>
      <c r="J8" s="61"/>
      <c r="K8" s="61"/>
      <c r="L8" s="59"/>
      <c r="M8" s="59"/>
      <c r="N8" s="59"/>
      <c r="O8" s="59"/>
      <c r="P8" s="59"/>
      <c r="Q8" s="59"/>
    </row>
    <row r="9" spans="1:17" s="9" customFormat="1" ht="15" customHeight="1" thickBot="1">
      <c r="D9" s="60"/>
      <c r="E9" s="602" t="s">
        <v>158</v>
      </c>
      <c r="F9" s="917">
        <f>'1. KEY DATA'!G47</f>
        <v>0</v>
      </c>
      <c r="G9" s="61"/>
      <c r="H9" s="61"/>
      <c r="I9" s="61"/>
      <c r="J9" s="61"/>
      <c r="K9" s="61"/>
      <c r="L9" s="59"/>
      <c r="M9" s="59"/>
      <c r="N9" s="59"/>
      <c r="O9" s="59"/>
      <c r="P9" s="59"/>
      <c r="Q9" s="59"/>
    </row>
    <row r="10" spans="1:17" s="9" customFormat="1" ht="6.75" customHeight="1" thickBot="1">
      <c r="D10" s="60"/>
      <c r="E10" s="5"/>
      <c r="F10" s="5"/>
      <c r="G10" s="61"/>
      <c r="H10" s="61"/>
      <c r="I10" s="61"/>
      <c r="J10" s="61"/>
      <c r="K10" s="61"/>
      <c r="L10" s="59"/>
      <c r="M10" s="59"/>
      <c r="N10" s="59"/>
      <c r="O10" s="59"/>
      <c r="P10" s="59"/>
      <c r="Q10" s="59"/>
    </row>
    <row r="11" spans="1:17" s="9" customFormat="1" ht="15" customHeight="1" thickBot="1">
      <c r="D11" s="60"/>
      <c r="E11" s="501" t="s">
        <v>159</v>
      </c>
      <c r="F11" s="918">
        <f>F9-F7</f>
        <v>0</v>
      </c>
      <c r="G11" s="61"/>
      <c r="H11" s="61"/>
      <c r="I11" s="61"/>
      <c r="J11" s="61"/>
      <c r="K11" s="61"/>
      <c r="L11" s="59"/>
      <c r="M11" s="59"/>
      <c r="N11" s="59"/>
      <c r="O11" s="59"/>
      <c r="P11" s="59"/>
      <c r="Q11" s="59"/>
    </row>
    <row r="12" spans="1:17" s="9" customFormat="1" ht="7.5" customHeight="1" thickBot="1">
      <c r="B12" s="1"/>
      <c r="C12" s="10"/>
      <c r="D12" s="60"/>
      <c r="E12" s="61"/>
      <c r="F12" s="61"/>
      <c r="G12" s="61"/>
      <c r="H12" s="61"/>
      <c r="I12" s="61"/>
      <c r="J12" s="61"/>
      <c r="K12" s="61"/>
      <c r="L12" s="59"/>
      <c r="M12" s="59"/>
      <c r="N12" s="59"/>
      <c r="O12" s="59"/>
      <c r="P12" s="59"/>
      <c r="Q12" s="59"/>
    </row>
    <row r="13" spans="1:17" s="9" customFormat="1" ht="15" customHeight="1" thickBot="1">
      <c r="B13" s="1465" t="s">
        <v>261</v>
      </c>
      <c r="C13" s="1605"/>
      <c r="D13" s="60"/>
      <c r="G13" s="61"/>
      <c r="H13" s="61"/>
      <c r="I13" s="61"/>
      <c r="J13" s="61"/>
      <c r="K13" s="61"/>
      <c r="L13" s="59"/>
      <c r="M13" s="59"/>
      <c r="N13" s="59"/>
      <c r="O13" s="59"/>
      <c r="P13" s="59"/>
      <c r="Q13" s="59"/>
    </row>
    <row r="14" spans="1:17" s="9" customFormat="1" ht="15" customHeight="1">
      <c r="B14" s="531"/>
      <c r="C14" s="1097"/>
      <c r="D14" s="60"/>
      <c r="E14" s="1603" t="s">
        <v>180</v>
      </c>
      <c r="F14" s="1604"/>
      <c r="G14" s="61"/>
      <c r="H14" s="61"/>
      <c r="I14" s="61"/>
      <c r="J14" s="61"/>
      <c r="K14" s="61"/>
      <c r="L14" s="59"/>
      <c r="M14" s="59"/>
      <c r="N14" s="59"/>
      <c r="O14" s="59"/>
      <c r="P14" s="59"/>
      <c r="Q14" s="59"/>
    </row>
    <row r="15" spans="1:17" s="9" customFormat="1" ht="15" customHeight="1">
      <c r="B15" s="499" t="s">
        <v>108</v>
      </c>
      <c r="C15" s="1098"/>
      <c r="D15" s="60"/>
      <c r="E15" s="599" t="s">
        <v>143</v>
      </c>
      <c r="F15" s="913">
        <f>'3. Payroll'!CA67</f>
        <v>0</v>
      </c>
      <c r="G15" s="61"/>
      <c r="H15" s="61"/>
      <c r="I15" s="61"/>
      <c r="J15" s="61"/>
      <c r="K15" s="61"/>
      <c r="L15" s="59"/>
      <c r="M15" s="59"/>
      <c r="N15" s="59"/>
      <c r="O15" s="59"/>
      <c r="P15" s="59"/>
      <c r="Q15" s="59"/>
    </row>
    <row r="16" spans="1:17" s="9" customFormat="1" ht="15" customHeight="1">
      <c r="B16" s="499" t="s">
        <v>29</v>
      </c>
      <c r="C16" s="1098"/>
      <c r="D16" s="60"/>
      <c r="E16" s="599" t="s">
        <v>147</v>
      </c>
      <c r="F16" s="914">
        <f>'4. Property'!AV30</f>
        <v>0</v>
      </c>
      <c r="G16" s="61"/>
      <c r="H16" s="61"/>
      <c r="I16" s="61"/>
      <c r="J16" s="61"/>
      <c r="K16" s="61"/>
      <c r="L16" s="59"/>
      <c r="M16" s="59"/>
      <c r="N16" s="59"/>
      <c r="O16" s="59"/>
      <c r="P16" s="59"/>
      <c r="Q16" s="59"/>
    </row>
    <row r="17" spans="2:17" s="9" customFormat="1" ht="15" customHeight="1">
      <c r="B17" s="499" t="s">
        <v>22</v>
      </c>
      <c r="C17" s="1098"/>
      <c r="D17" s="60"/>
      <c r="E17" s="600" t="s">
        <v>144</v>
      </c>
      <c r="F17" s="102">
        <f>'5. Transport'!AQ50</f>
        <v>0</v>
      </c>
      <c r="G17" s="61"/>
      <c r="H17" s="61"/>
      <c r="I17" s="61"/>
      <c r="J17" s="61"/>
      <c r="K17" s="61"/>
      <c r="L17" s="59"/>
      <c r="M17" s="59"/>
      <c r="N17" s="59"/>
      <c r="O17" s="59"/>
      <c r="P17" s="59"/>
      <c r="Q17" s="59"/>
    </row>
    <row r="18" spans="2:17" s="9" customFormat="1">
      <c r="B18" s="499" t="s">
        <v>30</v>
      </c>
      <c r="C18" s="1098"/>
      <c r="D18" s="62"/>
      <c r="E18" s="600" t="s">
        <v>146</v>
      </c>
      <c r="F18" s="912">
        <f>'6. Direct OH'!O31</f>
        <v>0</v>
      </c>
      <c r="G18" s="59"/>
      <c r="H18" s="59"/>
      <c r="I18" s="59"/>
      <c r="J18" s="59"/>
      <c r="K18" s="59"/>
      <c r="L18" s="59"/>
      <c r="M18" s="59"/>
      <c r="N18" s="59"/>
      <c r="O18" s="59"/>
      <c r="P18" s="59"/>
      <c r="Q18" s="59"/>
    </row>
    <row r="19" spans="2:17" s="9" customFormat="1" ht="15.75" thickBot="1">
      <c r="B19" s="499" t="s">
        <v>12</v>
      </c>
      <c r="C19" s="1098"/>
      <c r="D19" s="62"/>
      <c r="E19" s="601" t="s">
        <v>145</v>
      </c>
      <c r="F19" s="915">
        <f>'7. Admin OH'!R12</f>
        <v>0</v>
      </c>
      <c r="G19" s="59"/>
      <c r="H19" s="59"/>
      <c r="I19" s="59"/>
      <c r="J19" s="59"/>
      <c r="K19" s="59"/>
      <c r="L19" s="59"/>
      <c r="M19" s="59"/>
      <c r="N19" s="59"/>
      <c r="O19" s="59"/>
      <c r="P19" s="59"/>
      <c r="Q19" s="59"/>
    </row>
    <row r="20" spans="2:17" s="9" customFormat="1">
      <c r="B20" s="499" t="s">
        <v>23</v>
      </c>
      <c r="C20" s="1098"/>
      <c r="D20" s="62"/>
      <c r="E20" s="59"/>
      <c r="F20" s="59"/>
      <c r="G20" s="59"/>
      <c r="H20" s="59"/>
      <c r="I20" s="59"/>
      <c r="J20" s="59"/>
      <c r="K20" s="59"/>
      <c r="L20" s="59"/>
      <c r="M20" s="59"/>
      <c r="N20" s="59"/>
      <c r="O20" s="59"/>
      <c r="P20" s="59"/>
      <c r="Q20" s="59"/>
    </row>
    <row r="21" spans="2:17" s="9" customFormat="1">
      <c r="B21" s="499" t="s">
        <v>31</v>
      </c>
      <c r="C21" s="1098"/>
      <c r="D21" s="62"/>
      <c r="E21" s="59"/>
      <c r="F21" s="59"/>
      <c r="G21" s="59"/>
      <c r="H21" s="59"/>
      <c r="I21" s="59"/>
      <c r="J21" s="59"/>
      <c r="K21" s="59"/>
      <c r="L21" s="59"/>
      <c r="M21" s="59"/>
      <c r="N21" s="59"/>
      <c r="O21" s="59"/>
      <c r="P21" s="59"/>
      <c r="Q21" s="59"/>
    </row>
    <row r="22" spans="2:17" s="9" customFormat="1">
      <c r="B22" s="499" t="s">
        <v>25</v>
      </c>
      <c r="C22" s="1098"/>
      <c r="D22" s="62"/>
      <c r="E22" s="59"/>
      <c r="F22" s="59"/>
      <c r="G22" s="59"/>
      <c r="H22" s="59"/>
      <c r="I22" s="59"/>
      <c r="J22" s="59"/>
      <c r="K22" s="59"/>
      <c r="L22" s="59"/>
      <c r="M22" s="59"/>
      <c r="N22" s="59"/>
      <c r="O22" s="59"/>
      <c r="P22" s="59"/>
      <c r="Q22" s="59"/>
    </row>
    <row r="23" spans="2:17" s="9" customFormat="1">
      <c r="B23" s="499" t="s">
        <v>24</v>
      </c>
      <c r="C23" s="1098"/>
      <c r="D23" s="16"/>
      <c r="E23" s="16"/>
      <c r="F23" s="16"/>
      <c r="G23" s="16"/>
      <c r="H23" s="16"/>
      <c r="I23" s="16"/>
      <c r="J23" s="16"/>
      <c r="K23" s="16"/>
      <c r="L23" s="16"/>
      <c r="M23" s="16"/>
      <c r="N23" s="16"/>
      <c r="O23" s="16"/>
      <c r="P23" s="16"/>
      <c r="Q23" s="16"/>
    </row>
    <row r="24" spans="2:17" s="9" customFormat="1">
      <c r="B24" s="499" t="s">
        <v>27</v>
      </c>
      <c r="C24" s="1098"/>
    </row>
    <row r="25" spans="2:17" s="9" customFormat="1">
      <c r="B25" s="499" t="s">
        <v>28</v>
      </c>
      <c r="C25" s="1098"/>
    </row>
    <row r="26" spans="2:17" s="9" customFormat="1">
      <c r="B26" s="499" t="s">
        <v>32</v>
      </c>
      <c r="C26" s="1098"/>
    </row>
    <row r="27" spans="2:17" s="9" customFormat="1">
      <c r="B27" s="499" t="s">
        <v>107</v>
      </c>
      <c r="C27" s="1098"/>
    </row>
    <row r="28" spans="2:17" s="9" customFormat="1">
      <c r="B28" s="499" t="s">
        <v>110</v>
      </c>
      <c r="C28" s="1098"/>
    </row>
    <row r="29" spans="2:17" s="9" customFormat="1">
      <c r="B29" s="499" t="s">
        <v>26</v>
      </c>
      <c r="C29" s="1098"/>
    </row>
    <row r="30" spans="2:17" s="9" customFormat="1">
      <c r="B30" s="499" t="s">
        <v>111</v>
      </c>
      <c r="C30" s="1098"/>
    </row>
    <row r="31" spans="2:17" s="9" customFormat="1">
      <c r="B31" s="499" t="s">
        <v>21</v>
      </c>
      <c r="C31" s="1098"/>
    </row>
    <row r="32" spans="2:17" s="9" customFormat="1">
      <c r="B32" s="499" t="s">
        <v>109</v>
      </c>
      <c r="C32" s="1098"/>
    </row>
    <row r="33" spans="2:4" s="9" customFormat="1">
      <c r="B33" s="499" t="s">
        <v>112</v>
      </c>
      <c r="C33" s="1098"/>
    </row>
    <row r="34" spans="2:4" s="9" customFormat="1">
      <c r="B34" s="499" t="s">
        <v>70</v>
      </c>
      <c r="C34" s="1098"/>
    </row>
    <row r="35" spans="2:4" s="9" customFormat="1">
      <c r="B35" s="499" t="s">
        <v>70</v>
      </c>
      <c r="C35" s="1098"/>
    </row>
    <row r="36" spans="2:4" s="9" customFormat="1">
      <c r="B36" s="499" t="s">
        <v>70</v>
      </c>
      <c r="C36" s="1098"/>
    </row>
    <row r="37" spans="2:4" s="9" customFormat="1">
      <c r="B37" s="499" t="s">
        <v>70</v>
      </c>
      <c r="C37" s="1098"/>
    </row>
    <row r="38" spans="2:4">
      <c r="B38" s="499" t="s">
        <v>70</v>
      </c>
      <c r="C38" s="1098"/>
    </row>
    <row r="39" spans="2:4">
      <c r="B39" s="499" t="s">
        <v>70</v>
      </c>
      <c r="C39" s="1099"/>
    </row>
    <row r="40" spans="2:4" ht="15.75" thickBot="1">
      <c r="B40" s="598"/>
      <c r="C40" s="1100"/>
    </row>
    <row r="42" spans="2:4" s="10" customFormat="1" ht="8.25" customHeight="1"/>
    <row r="43" spans="2:4" ht="15.75">
      <c r="D43" s="5"/>
    </row>
    <row r="44" spans="2:4" ht="9" customHeight="1">
      <c r="D44" s="5"/>
    </row>
  </sheetData>
  <mergeCells count="4">
    <mergeCell ref="E14:F14"/>
    <mergeCell ref="G2:K2"/>
    <mergeCell ref="B13:C13"/>
    <mergeCell ref="G5:H5"/>
  </mergeCells>
  <pageMargins left="0.70866141732283472" right="0.70866141732283472" top="0.74803149606299213" bottom="0.74803149606299213" header="0.31496062992125984" footer="0.31496062992125984"/>
  <pageSetup paperSize="9" scale="61" orientation="portrait" r:id="rId1"/>
</worksheet>
</file>

<file path=xl/worksheets/sheet2.xml><?xml version="1.0" encoding="utf-8"?>
<worksheet xmlns="http://schemas.openxmlformats.org/spreadsheetml/2006/main" xmlns:r="http://schemas.openxmlformats.org/officeDocument/2006/relationships">
  <sheetPr>
    <tabColor rgb="FFFF0000"/>
  </sheetPr>
  <dimension ref="B1:T60"/>
  <sheetViews>
    <sheetView tabSelected="1" workbookViewId="0">
      <pane ySplit="8" topLeftCell="A9" activePane="bottomLeft" state="frozen"/>
      <selection pane="bottomLeft" activeCell="D58" sqref="D58"/>
    </sheetView>
  </sheetViews>
  <sheetFormatPr defaultRowHeight="15"/>
  <cols>
    <col min="1" max="1" width="3.28515625" customWidth="1"/>
    <col min="2" max="2" width="25.42578125" customWidth="1"/>
    <col min="3" max="3" width="24.28515625" customWidth="1"/>
    <col min="4" max="4" width="13.140625" customWidth="1"/>
    <col min="5" max="5" width="11.42578125" customWidth="1"/>
    <col min="6" max="6" width="10.85546875" customWidth="1"/>
    <col min="7" max="7" width="10.28515625" customWidth="1"/>
    <col min="8" max="8" width="11.5703125" customWidth="1"/>
    <col min="9" max="9" width="10.140625" customWidth="1"/>
    <col min="10" max="10" width="9.7109375" customWidth="1"/>
    <col min="11" max="11" width="10.5703125" customWidth="1"/>
    <col min="12" max="12" width="9.85546875" customWidth="1"/>
    <col min="13" max="13" width="10.140625" customWidth="1"/>
    <col min="14" max="14" width="12.7109375" customWidth="1"/>
    <col min="15" max="15" width="10.5703125" customWidth="1"/>
    <col min="16" max="16" width="10.140625" customWidth="1"/>
    <col min="17" max="17" width="10.7109375" customWidth="1"/>
    <col min="18" max="18" width="10" customWidth="1"/>
  </cols>
  <sheetData>
    <row r="1" spans="2:18" ht="21">
      <c r="B1" s="131" t="s">
        <v>128</v>
      </c>
    </row>
    <row r="2" spans="2:18" ht="15.75" thickBot="1">
      <c r="E2" s="487"/>
      <c r="F2" s="487"/>
    </row>
    <row r="3" spans="2:18" s="10" customFormat="1" ht="18.75">
      <c r="B3" s="15" t="s">
        <v>82</v>
      </c>
      <c r="C3" s="905"/>
      <c r="D3" s="488"/>
      <c r="E3" s="1257" t="s">
        <v>2</v>
      </c>
      <c r="F3" s="1258"/>
      <c r="G3" s="489"/>
      <c r="H3" s="489"/>
      <c r="I3" s="489"/>
      <c r="N3" s="1244" t="s">
        <v>152</v>
      </c>
      <c r="O3" s="1245"/>
      <c r="P3" s="1245"/>
      <c r="Q3" s="1245"/>
      <c r="R3" s="1246"/>
    </row>
    <row r="4" spans="2:18" s="10" customFormat="1" ht="16.5" customHeight="1" thickBot="1">
      <c r="B4" s="13" t="s">
        <v>126</v>
      </c>
      <c r="C4" s="906"/>
      <c r="D4" s="488"/>
      <c r="E4" s="1259" t="s">
        <v>303</v>
      </c>
      <c r="F4" s="1261" t="s">
        <v>304</v>
      </c>
      <c r="G4" s="489"/>
      <c r="H4" s="489"/>
      <c r="I4" s="489"/>
      <c r="N4" s="104"/>
      <c r="O4" s="114"/>
      <c r="P4" s="106" t="s">
        <v>153</v>
      </c>
      <c r="Q4" s="107"/>
      <c r="R4" s="108"/>
    </row>
    <row r="5" spans="2:18" s="10" customFormat="1" ht="15.75" customHeight="1">
      <c r="D5" s="512" t="s">
        <v>229</v>
      </c>
      <c r="E5" s="1260"/>
      <c r="F5" s="1262"/>
      <c r="G5" s="489"/>
      <c r="H5" s="489"/>
      <c r="I5" s="489"/>
      <c r="N5" s="105"/>
      <c r="O5" s="117"/>
      <c r="P5" s="106" t="s">
        <v>161</v>
      </c>
      <c r="Q5" s="107"/>
      <c r="R5" s="108"/>
    </row>
    <row r="6" spans="2:18" s="10" customFormat="1" ht="15" customHeight="1" thickBot="1">
      <c r="D6" s="512" t="s">
        <v>230</v>
      </c>
      <c r="E6" s="907"/>
      <c r="F6" s="908">
        <f>E6+364</f>
        <v>364</v>
      </c>
      <c r="G6" s="489"/>
      <c r="H6" s="489"/>
      <c r="I6" s="489"/>
      <c r="N6" s="1218"/>
      <c r="O6" s="1219"/>
      <c r="P6" s="109" t="s">
        <v>154</v>
      </c>
      <c r="Q6" s="110"/>
      <c r="R6" s="111"/>
    </row>
    <row r="7" spans="2:18" s="10" customFormat="1" ht="18.75"/>
    <row r="8" spans="2:18" s="10" customFormat="1" ht="18.75">
      <c r="B8" s="491"/>
    </row>
    <row r="9" spans="2:18" s="10" customFormat="1" ht="6.75" customHeight="1" thickBot="1">
      <c r="B9" s="491"/>
      <c r="N9"/>
      <c r="O9"/>
      <c r="P9"/>
      <c r="Q9"/>
      <c r="R9"/>
    </row>
    <row r="10" spans="2:18" ht="28.5" customHeight="1" thickBot="1">
      <c r="B10" s="511" t="s">
        <v>221</v>
      </c>
      <c r="C10" s="1250" t="s">
        <v>236</v>
      </c>
      <c r="D10" s="1251"/>
      <c r="E10" s="1251"/>
      <c r="F10" s="1251"/>
      <c r="G10" s="1251"/>
      <c r="H10" s="1251"/>
      <c r="I10" s="1251"/>
      <c r="J10" s="1251"/>
      <c r="K10" s="1252"/>
    </row>
    <row r="11" spans="2:18">
      <c r="B11" s="1249">
        <v>1</v>
      </c>
      <c r="C11" s="1207"/>
      <c r="D11" s="1208"/>
      <c r="E11" s="1208"/>
      <c r="F11" s="1208"/>
      <c r="G11" s="1208"/>
      <c r="H11" s="1208"/>
      <c r="I11" s="1208"/>
      <c r="J11" s="1208"/>
      <c r="K11" s="1209"/>
    </row>
    <row r="12" spans="2:18">
      <c r="B12" s="1237"/>
      <c r="C12" s="1210"/>
      <c r="D12" s="1211"/>
      <c r="E12" s="1211"/>
      <c r="F12" s="1211"/>
      <c r="G12" s="1211"/>
      <c r="H12" s="1211"/>
      <c r="I12" s="1211"/>
      <c r="J12" s="1211"/>
      <c r="K12" s="1212"/>
    </row>
    <row r="13" spans="2:18">
      <c r="B13" s="1237">
        <v>2</v>
      </c>
      <c r="C13" s="1213"/>
      <c r="D13" s="1214"/>
      <c r="E13" s="1214"/>
      <c r="F13" s="1214"/>
      <c r="G13" s="1214"/>
      <c r="H13" s="1214"/>
      <c r="I13" s="1214"/>
      <c r="J13" s="1214"/>
      <c r="K13" s="1215"/>
    </row>
    <row r="14" spans="2:18">
      <c r="B14" s="1237"/>
      <c r="C14" s="1210"/>
      <c r="D14" s="1211"/>
      <c r="E14" s="1211"/>
      <c r="F14" s="1211"/>
      <c r="G14" s="1211"/>
      <c r="H14" s="1211"/>
      <c r="I14" s="1211"/>
      <c r="J14" s="1211"/>
      <c r="K14" s="1212"/>
    </row>
    <row r="15" spans="2:18">
      <c r="B15" s="1237">
        <v>3</v>
      </c>
      <c r="C15" s="1213"/>
      <c r="D15" s="1214"/>
      <c r="E15" s="1214"/>
      <c r="F15" s="1214"/>
      <c r="G15" s="1214"/>
      <c r="H15" s="1214"/>
      <c r="I15" s="1214"/>
      <c r="J15" s="1214"/>
      <c r="K15" s="1215"/>
    </row>
    <row r="16" spans="2:18">
      <c r="B16" s="1237"/>
      <c r="C16" s="1210"/>
      <c r="D16" s="1211"/>
      <c r="E16" s="1211"/>
      <c r="F16" s="1211"/>
      <c r="G16" s="1211"/>
      <c r="H16" s="1211"/>
      <c r="I16" s="1211"/>
      <c r="J16" s="1211"/>
      <c r="K16" s="1212"/>
    </row>
    <row r="17" spans="2:18">
      <c r="B17" s="1237">
        <v>4</v>
      </c>
      <c r="C17" s="1213"/>
      <c r="D17" s="1214"/>
      <c r="E17" s="1214"/>
      <c r="F17" s="1214"/>
      <c r="G17" s="1214"/>
      <c r="H17" s="1214"/>
      <c r="I17" s="1214"/>
      <c r="J17" s="1214"/>
      <c r="K17" s="1215"/>
    </row>
    <row r="18" spans="2:18">
      <c r="B18" s="1237"/>
      <c r="C18" s="1210"/>
      <c r="D18" s="1211"/>
      <c r="E18" s="1211"/>
      <c r="F18" s="1211"/>
      <c r="G18" s="1211"/>
      <c r="H18" s="1211"/>
      <c r="I18" s="1211"/>
      <c r="J18" s="1211"/>
      <c r="K18" s="1212"/>
    </row>
    <row r="19" spans="2:18">
      <c r="B19" s="1237">
        <v>5</v>
      </c>
      <c r="C19" s="1213"/>
      <c r="D19" s="1214"/>
      <c r="E19" s="1214"/>
      <c r="F19" s="1214"/>
      <c r="G19" s="1214"/>
      <c r="H19" s="1214"/>
      <c r="I19" s="1214"/>
      <c r="J19" s="1214"/>
      <c r="K19" s="1215"/>
    </row>
    <row r="20" spans="2:18">
      <c r="B20" s="1237"/>
      <c r="C20" s="1210"/>
      <c r="D20" s="1211"/>
      <c r="E20" s="1211"/>
      <c r="F20" s="1211"/>
      <c r="G20" s="1211"/>
      <c r="H20" s="1211"/>
      <c r="I20" s="1211"/>
      <c r="J20" s="1211"/>
      <c r="K20" s="1212"/>
    </row>
    <row r="21" spans="2:18">
      <c r="B21" s="1237">
        <v>6</v>
      </c>
      <c r="C21" s="1213"/>
      <c r="D21" s="1214"/>
      <c r="E21" s="1214"/>
      <c r="F21" s="1214"/>
      <c r="G21" s="1214"/>
      <c r="H21" s="1214"/>
      <c r="I21" s="1214"/>
      <c r="J21" s="1214"/>
      <c r="K21" s="1215"/>
    </row>
    <row r="22" spans="2:18" ht="19.5" thickBot="1">
      <c r="B22" s="1240"/>
      <c r="C22" s="1229"/>
      <c r="D22" s="1230"/>
      <c r="E22" s="1230"/>
      <c r="F22" s="1230"/>
      <c r="G22" s="1230"/>
      <c r="H22" s="1230"/>
      <c r="I22" s="1230"/>
      <c r="J22" s="1230"/>
      <c r="K22" s="1231"/>
      <c r="N22" s="10"/>
      <c r="O22" s="10"/>
      <c r="P22" s="10"/>
      <c r="Q22" s="10"/>
      <c r="R22" s="10"/>
    </row>
    <row r="23" spans="2:18" s="10" customFormat="1" ht="18.75"/>
    <row r="24" spans="2:18" s="10" customFormat="1" ht="19.5" thickBot="1">
      <c r="B24" s="3" t="s">
        <v>354</v>
      </c>
    </row>
    <row r="25" spans="2:18" s="10" customFormat="1" ht="48" customHeight="1" thickBot="1">
      <c r="B25" s="636">
        <v>0.03</v>
      </c>
      <c r="C25" s="1232" t="s">
        <v>355</v>
      </c>
      <c r="D25" s="1233"/>
      <c r="E25" s="1233"/>
      <c r="F25" s="1233"/>
      <c r="G25" s="1233"/>
      <c r="H25" s="1233"/>
      <c r="I25" s="1233"/>
      <c r="J25" s="1233"/>
      <c r="K25" s="1233"/>
      <c r="L25" s="1233"/>
      <c r="M25" s="1233"/>
      <c r="N25" s="1233"/>
      <c r="O25" s="1234"/>
    </row>
    <row r="26" spans="2:18" s="10" customFormat="1" ht="18.75">
      <c r="N26"/>
    </row>
    <row r="27" spans="2:18" s="10" customFormat="1" ht="18.75">
      <c r="B27" s="3" t="s">
        <v>231</v>
      </c>
      <c r="C27"/>
      <c r="D27"/>
      <c r="E27"/>
      <c r="F27"/>
      <c r="G27"/>
      <c r="H27"/>
      <c r="I27" s="448"/>
      <c r="J27"/>
      <c r="K27"/>
      <c r="L27"/>
      <c r="M27" s="9"/>
      <c r="N27" s="9"/>
      <c r="O27" s="9"/>
    </row>
    <row r="28" spans="2:18" s="10" customFormat="1" ht="19.5" thickBot="1">
      <c r="B28"/>
      <c r="C28"/>
      <c r="D28"/>
      <c r="E28"/>
      <c r="F28"/>
      <c r="G28"/>
      <c r="H28"/>
      <c r="I28"/>
      <c r="J28" s="490"/>
      <c r="K28"/>
      <c r="L28"/>
      <c r="M28"/>
      <c r="N28"/>
      <c r="O28"/>
    </row>
    <row r="29" spans="2:18" s="10" customFormat="1" ht="18.75">
      <c r="B29" s="1255" t="s">
        <v>234</v>
      </c>
      <c r="C29" s="1241" t="s">
        <v>238</v>
      </c>
      <c r="D29" s="1242"/>
      <c r="E29" s="1242"/>
      <c r="F29" s="1242"/>
      <c r="G29" s="1242"/>
      <c r="H29" s="1242"/>
      <c r="I29" s="1243"/>
      <c r="J29" s="135"/>
      <c r="K29" s="1223" t="s">
        <v>168</v>
      </c>
      <c r="L29" s="1224"/>
      <c r="M29" s="1224"/>
      <c r="N29" s="1224"/>
      <c r="O29" s="1225"/>
    </row>
    <row r="30" spans="2:18" s="10" customFormat="1" ht="19.5" thickBot="1">
      <c r="B30" s="1256"/>
      <c r="C30" s="1220" t="s">
        <v>357</v>
      </c>
      <c r="D30" s="1221"/>
      <c r="E30" s="1221"/>
      <c r="F30" s="1221"/>
      <c r="G30" s="1221"/>
      <c r="H30" s="1221"/>
      <c r="I30" s="1222"/>
      <c r="J30" s="492">
        <v>0.09</v>
      </c>
      <c r="K30" s="1226"/>
      <c r="L30" s="1227"/>
      <c r="M30" s="1227"/>
      <c r="N30" s="1227"/>
      <c r="O30" s="1228"/>
    </row>
    <row r="31" spans="2:18" s="10" customFormat="1" ht="18.75">
      <c r="B31" s="164"/>
      <c r="C31" s="873"/>
      <c r="D31" s="873"/>
      <c r="E31" s="873"/>
      <c r="F31" s="873"/>
      <c r="G31" s="873"/>
      <c r="H31" s="873"/>
      <c r="I31" s="873"/>
      <c r="J31" s="397"/>
      <c r="K31" s="874"/>
      <c r="L31" s="874"/>
      <c r="M31" s="874"/>
      <c r="N31" s="874"/>
      <c r="O31" s="874"/>
    </row>
    <row r="32" spans="2:18" s="10" customFormat="1" ht="19.5" thickBot="1">
      <c r="B32" s="3" t="s">
        <v>167</v>
      </c>
      <c r="N32" s="9"/>
      <c r="O32" s="9"/>
      <c r="P32" s="9"/>
      <c r="Q32" s="9"/>
      <c r="R32" s="9"/>
    </row>
    <row r="33" spans="2:8" s="9" customFormat="1" ht="63" customHeight="1">
      <c r="B33" s="28" t="s">
        <v>92</v>
      </c>
      <c r="C33" s="1238" t="s">
        <v>1</v>
      </c>
      <c r="D33" s="1239"/>
      <c r="E33" s="610" t="s">
        <v>237</v>
      </c>
      <c r="F33" s="610" t="s">
        <v>96</v>
      </c>
      <c r="G33" s="611" t="s">
        <v>34</v>
      </c>
      <c r="H33" s="1193" t="s">
        <v>375</v>
      </c>
    </row>
    <row r="34" spans="2:8" s="9" customFormat="1">
      <c r="B34" s="14">
        <v>1</v>
      </c>
      <c r="C34" s="1216"/>
      <c r="D34" s="1217"/>
      <c r="E34" s="204"/>
      <c r="F34" s="29"/>
      <c r="G34" s="199"/>
      <c r="H34" s="1194"/>
    </row>
    <row r="35" spans="2:8" s="9" customFormat="1">
      <c r="B35" s="14">
        <f>B34+1</f>
        <v>2</v>
      </c>
      <c r="C35" s="1216"/>
      <c r="D35" s="1217"/>
      <c r="E35" s="204"/>
      <c r="F35" s="29"/>
      <c r="G35" s="199"/>
      <c r="H35" s="1194"/>
    </row>
    <row r="36" spans="2:8" s="9" customFormat="1">
      <c r="B36" s="14">
        <f t="shared" ref="B36:B48" si="0">B35+1</f>
        <v>3</v>
      </c>
      <c r="C36" s="1216"/>
      <c r="D36" s="1217"/>
      <c r="E36" s="204"/>
      <c r="F36" s="29"/>
      <c r="G36" s="199"/>
      <c r="H36" s="1194"/>
    </row>
    <row r="37" spans="2:8" s="9" customFormat="1">
      <c r="B37" s="14">
        <f t="shared" si="0"/>
        <v>4</v>
      </c>
      <c r="C37" s="1216"/>
      <c r="D37" s="1217"/>
      <c r="E37" s="204"/>
      <c r="F37" s="29"/>
      <c r="G37" s="199"/>
      <c r="H37" s="1194"/>
    </row>
    <row r="38" spans="2:8" s="9" customFormat="1">
      <c r="B38" s="14">
        <f t="shared" si="0"/>
        <v>5</v>
      </c>
      <c r="C38" s="1216"/>
      <c r="D38" s="1217"/>
      <c r="E38" s="204"/>
      <c r="F38" s="29"/>
      <c r="G38" s="199"/>
      <c r="H38" s="1195"/>
    </row>
    <row r="39" spans="2:8" s="9" customFormat="1">
      <c r="B39" s="14">
        <f t="shared" si="0"/>
        <v>6</v>
      </c>
      <c r="C39" s="1216"/>
      <c r="D39" s="1217"/>
      <c r="E39" s="205"/>
      <c r="F39" s="29"/>
      <c r="G39" s="200"/>
      <c r="H39" s="1195"/>
    </row>
    <row r="40" spans="2:8" s="9" customFormat="1">
      <c r="B40" s="14">
        <f t="shared" si="0"/>
        <v>7</v>
      </c>
      <c r="C40" s="1216"/>
      <c r="D40" s="1217"/>
      <c r="E40" s="205"/>
      <c r="F40" s="29"/>
      <c r="G40" s="200"/>
      <c r="H40" s="1196"/>
    </row>
    <row r="41" spans="2:8" s="9" customFormat="1">
      <c r="B41" s="14">
        <f t="shared" si="0"/>
        <v>8</v>
      </c>
      <c r="C41" s="1235"/>
      <c r="D41" s="1236"/>
      <c r="E41" s="205"/>
      <c r="F41" s="29"/>
      <c r="G41" s="201"/>
      <c r="H41" s="1196"/>
    </row>
    <row r="42" spans="2:8" s="9" customFormat="1">
      <c r="B42" s="14">
        <f t="shared" si="0"/>
        <v>9</v>
      </c>
      <c r="C42" s="1235"/>
      <c r="D42" s="1236"/>
      <c r="E42" s="205"/>
      <c r="F42" s="29"/>
      <c r="G42" s="201"/>
      <c r="H42" s="1197"/>
    </row>
    <row r="43" spans="2:8" s="9" customFormat="1">
      <c r="B43" s="14">
        <f t="shared" si="0"/>
        <v>10</v>
      </c>
      <c r="C43" s="1235"/>
      <c r="D43" s="1236"/>
      <c r="E43" s="206"/>
      <c r="F43" s="30"/>
      <c r="G43" s="202"/>
      <c r="H43" s="1198"/>
    </row>
    <row r="44" spans="2:8" s="9" customFormat="1">
      <c r="B44" s="1263">
        <f>B43+1</f>
        <v>11</v>
      </c>
      <c r="C44" s="123" t="s">
        <v>179</v>
      </c>
      <c r="D44" s="126" t="s">
        <v>164</v>
      </c>
      <c r="E44" s="207"/>
      <c r="F44" s="122"/>
      <c r="G44" s="203"/>
      <c r="H44" s="1198"/>
    </row>
    <row r="45" spans="2:8" s="9" customFormat="1">
      <c r="B45" s="1264"/>
      <c r="C45" s="124"/>
      <c r="D45" s="125" t="s">
        <v>165</v>
      </c>
      <c r="E45" s="207"/>
      <c r="F45" s="122"/>
      <c r="G45" s="203"/>
      <c r="H45" s="1197"/>
    </row>
    <row r="46" spans="2:8" s="9" customFormat="1">
      <c r="B46" s="115">
        <f>B44+1</f>
        <v>12</v>
      </c>
      <c r="C46" s="1269" t="s">
        <v>380</v>
      </c>
      <c r="D46" s="1270"/>
      <c r="E46" s="158"/>
      <c r="F46" s="122"/>
      <c r="G46" s="202"/>
      <c r="H46" s="1196"/>
    </row>
    <row r="47" spans="2:8" s="9" customFormat="1" ht="15.75" thickBot="1">
      <c r="B47" s="14">
        <f t="shared" si="0"/>
        <v>13</v>
      </c>
      <c r="C47" s="1274" t="s">
        <v>93</v>
      </c>
      <c r="D47" s="1270"/>
      <c r="E47" s="165"/>
      <c r="F47" s="166"/>
      <c r="G47" s="201"/>
      <c r="H47" s="494"/>
    </row>
    <row r="48" spans="2:8" s="9" customFormat="1" ht="15.75" thickBot="1">
      <c r="B48" s="43">
        <f t="shared" si="0"/>
        <v>14</v>
      </c>
      <c r="C48" s="1271" t="s">
        <v>262</v>
      </c>
      <c r="D48" s="1272"/>
      <c r="E48" s="493"/>
      <c r="F48" s="153"/>
      <c r="G48" s="494"/>
      <c r="H48" s="184"/>
    </row>
    <row r="49" spans="2:20" s="9" customFormat="1" ht="15.75" thickBot="1">
      <c r="E49" s="81"/>
      <c r="F49" s="81"/>
      <c r="G49" s="184">
        <f>SUM(G34:G47)</f>
        <v>0</v>
      </c>
      <c r="H49" s="199"/>
      <c r="O49"/>
      <c r="P49"/>
      <c r="Q49"/>
      <c r="R49"/>
    </row>
    <row r="50" spans="2:20" ht="15.75" thickTop="1">
      <c r="B50" t="s">
        <v>0</v>
      </c>
      <c r="J50" s="9"/>
      <c r="K50" s="9"/>
      <c r="L50" s="9"/>
      <c r="M50" s="9"/>
      <c r="N50" s="9"/>
      <c r="O50" s="9"/>
      <c r="P50" s="9"/>
    </row>
    <row r="51" spans="2:20">
      <c r="L51" s="9"/>
      <c r="M51" s="9"/>
      <c r="N51" s="9"/>
      <c r="O51" s="9"/>
      <c r="P51" s="9"/>
    </row>
    <row r="52" spans="2:20" ht="18.75">
      <c r="B52" s="1273" t="s">
        <v>76</v>
      </c>
      <c r="C52" s="1273"/>
      <c r="L52" s="9"/>
      <c r="M52" s="9"/>
      <c r="N52" s="16"/>
      <c r="O52" s="16"/>
      <c r="P52" s="16"/>
      <c r="Q52" s="20"/>
      <c r="R52" s="20"/>
    </row>
    <row r="53" spans="2:20" ht="6.75" customHeight="1" thickBot="1">
      <c r="B53" s="487"/>
      <c r="C53" s="487"/>
      <c r="D53" s="487"/>
      <c r="E53" s="487"/>
      <c r="F53" s="487"/>
      <c r="G53" s="487"/>
      <c r="H53" s="487"/>
      <c r="I53" s="487"/>
      <c r="J53" s="487"/>
      <c r="K53" s="487"/>
      <c r="L53" s="47"/>
      <c r="M53" s="47"/>
      <c r="N53" s="487"/>
      <c r="O53" s="487"/>
      <c r="P53" s="487"/>
      <c r="Q53" s="487"/>
      <c r="R53" s="487"/>
    </row>
    <row r="54" spans="2:20">
      <c r="B54" s="1253" t="s">
        <v>35</v>
      </c>
      <c r="C54" s="1254"/>
      <c r="D54" s="1177" t="s">
        <v>389</v>
      </c>
      <c r="E54" s="485" t="s">
        <v>37</v>
      </c>
      <c r="F54" s="485" t="s">
        <v>38</v>
      </c>
      <c r="G54" s="485" t="s">
        <v>39</v>
      </c>
      <c r="H54" s="485" t="s">
        <v>40</v>
      </c>
      <c r="I54" s="485" t="s">
        <v>41</v>
      </c>
      <c r="J54" s="485" t="s">
        <v>42</v>
      </c>
      <c r="K54" s="485" t="s">
        <v>43</v>
      </c>
      <c r="L54" s="485" t="s">
        <v>44</v>
      </c>
      <c r="M54" s="485" t="s">
        <v>45</v>
      </c>
      <c r="N54" s="485" t="s">
        <v>46</v>
      </c>
      <c r="O54" s="485" t="s">
        <v>47</v>
      </c>
      <c r="P54" s="485" t="s">
        <v>79</v>
      </c>
      <c r="Q54" s="485" t="s">
        <v>80</v>
      </c>
      <c r="R54" s="486" t="s">
        <v>78</v>
      </c>
      <c r="S54" s="20"/>
      <c r="T54" s="20"/>
    </row>
    <row r="55" spans="2:20" ht="15.75" thickBot="1">
      <c r="B55" s="1247" t="s">
        <v>36</v>
      </c>
      <c r="C55" s="1248"/>
      <c r="D55" s="399"/>
      <c r="E55" s="399"/>
      <c r="F55" s="399"/>
      <c r="G55" s="399"/>
      <c r="H55" s="399"/>
      <c r="I55" s="399"/>
      <c r="J55" s="400"/>
      <c r="K55" s="400"/>
      <c r="L55" s="400"/>
      <c r="M55" s="400"/>
      <c r="N55" s="400"/>
      <c r="O55" s="400"/>
      <c r="P55" s="400"/>
      <c r="Q55" s="400"/>
      <c r="R55" s="462"/>
      <c r="S55" s="484"/>
    </row>
    <row r="56" spans="2:20" ht="15.75" thickBot="1">
      <c r="B56" s="1247" t="s">
        <v>48</v>
      </c>
      <c r="C56" s="1248"/>
      <c r="D56" s="395">
        <f>D55*365</f>
        <v>0</v>
      </c>
      <c r="E56" s="395">
        <f t="shared" ref="E56:M56" si="1">E55*365</f>
        <v>0</v>
      </c>
      <c r="F56" s="395">
        <f t="shared" si="1"/>
        <v>0</v>
      </c>
      <c r="G56" s="395">
        <f t="shared" si="1"/>
        <v>0</v>
      </c>
      <c r="H56" s="395">
        <f t="shared" si="1"/>
        <v>0</v>
      </c>
      <c r="I56" s="395">
        <f t="shared" si="1"/>
        <v>0</v>
      </c>
      <c r="J56" s="395">
        <f t="shared" si="1"/>
        <v>0</v>
      </c>
      <c r="K56" s="395">
        <f t="shared" si="1"/>
        <v>0</v>
      </c>
      <c r="L56" s="395">
        <f t="shared" si="1"/>
        <v>0</v>
      </c>
      <c r="M56" s="395">
        <f t="shared" si="1"/>
        <v>0</v>
      </c>
      <c r="N56" s="395">
        <f>N55*365</f>
        <v>0</v>
      </c>
      <c r="O56" s="395">
        <f>O55*365</f>
        <v>0</v>
      </c>
      <c r="P56" s="395">
        <f>P55*365</f>
        <v>0</v>
      </c>
      <c r="Q56" s="395">
        <f>Q55*365</f>
        <v>0</v>
      </c>
      <c r="R56" s="463">
        <f>R55*365</f>
        <v>0</v>
      </c>
      <c r="S56" s="483">
        <f>SUM(D56:R56)</f>
        <v>0</v>
      </c>
    </row>
    <row r="57" spans="2:20" ht="16.5" thickTop="1" thickBot="1">
      <c r="B57" s="1267" t="s">
        <v>49</v>
      </c>
      <c r="C57" s="1268"/>
      <c r="D57" s="464"/>
      <c r="E57" s="464"/>
      <c r="F57" s="464"/>
      <c r="G57" s="464"/>
      <c r="H57" s="464"/>
      <c r="I57" s="464"/>
      <c r="J57" s="465"/>
      <c r="K57" s="465"/>
      <c r="L57" s="465"/>
      <c r="M57" s="465"/>
      <c r="N57" s="465"/>
      <c r="O57" s="465"/>
      <c r="P57" s="465"/>
      <c r="Q57" s="465"/>
      <c r="R57" s="466"/>
      <c r="S57" s="1"/>
    </row>
    <row r="58" spans="2:20" ht="8.25" customHeight="1" thickBot="1">
      <c r="B58" s="396"/>
      <c r="C58" s="396"/>
      <c r="D58" s="397"/>
      <c r="E58" s="397"/>
      <c r="F58" s="397"/>
      <c r="G58" s="397"/>
      <c r="H58" s="397"/>
      <c r="I58" s="397"/>
      <c r="J58" s="398"/>
      <c r="K58" s="398"/>
      <c r="L58" s="398"/>
      <c r="M58" s="398"/>
      <c r="N58" s="398"/>
      <c r="O58" s="398"/>
      <c r="P58" s="398"/>
      <c r="Q58" s="398"/>
      <c r="R58" s="398"/>
      <c r="S58" s="1"/>
    </row>
    <row r="59" spans="2:20" ht="14.25" customHeight="1" thickBot="1">
      <c r="B59" s="1265" t="s">
        <v>212</v>
      </c>
      <c r="C59" s="1266"/>
      <c r="D59" s="467">
        <f>D56*D57</f>
        <v>0</v>
      </c>
      <c r="E59" s="467">
        <f t="shared" ref="E59:M59" si="2">E56*E57</f>
        <v>0</v>
      </c>
      <c r="F59" s="467">
        <f t="shared" si="2"/>
        <v>0</v>
      </c>
      <c r="G59" s="467">
        <f t="shared" si="2"/>
        <v>0</v>
      </c>
      <c r="H59" s="467">
        <f t="shared" si="2"/>
        <v>0</v>
      </c>
      <c r="I59" s="467">
        <f t="shared" si="2"/>
        <v>0</v>
      </c>
      <c r="J59" s="467">
        <f t="shared" si="2"/>
        <v>0</v>
      </c>
      <c r="K59" s="467">
        <f t="shared" si="2"/>
        <v>0</v>
      </c>
      <c r="L59" s="467">
        <f t="shared" si="2"/>
        <v>0</v>
      </c>
      <c r="M59" s="467">
        <f t="shared" si="2"/>
        <v>0</v>
      </c>
      <c r="N59" s="467">
        <f>N56*N57</f>
        <v>0</v>
      </c>
      <c r="O59" s="467">
        <f>O56*O57</f>
        <v>0</v>
      </c>
      <c r="P59" s="467">
        <f>P56*P57</f>
        <v>0</v>
      </c>
      <c r="Q59" s="467">
        <f>Q56*Q57</f>
        <v>0</v>
      </c>
      <c r="R59" s="468">
        <f>R56*R57</f>
        <v>0</v>
      </c>
      <c r="S59" s="469">
        <f>SUM(D59:R59)</f>
        <v>0</v>
      </c>
    </row>
    <row r="60" spans="2:20">
      <c r="L60" s="9"/>
      <c r="M60" s="9"/>
      <c r="N60" s="9"/>
      <c r="O60" s="9"/>
      <c r="P60" s="9"/>
    </row>
  </sheetData>
  <mergeCells count="44">
    <mergeCell ref="B59:C59"/>
    <mergeCell ref="B56:C56"/>
    <mergeCell ref="B57:C57"/>
    <mergeCell ref="C43:D43"/>
    <mergeCell ref="C42:D42"/>
    <mergeCell ref="C46:D46"/>
    <mergeCell ref="C48:D48"/>
    <mergeCell ref="B52:C52"/>
    <mergeCell ref="C47:D47"/>
    <mergeCell ref="N3:R3"/>
    <mergeCell ref="B55:C55"/>
    <mergeCell ref="C34:D34"/>
    <mergeCell ref="C36:D36"/>
    <mergeCell ref="B11:B12"/>
    <mergeCell ref="B13:B14"/>
    <mergeCell ref="B15:B16"/>
    <mergeCell ref="C10:K10"/>
    <mergeCell ref="B54:C54"/>
    <mergeCell ref="B29:B30"/>
    <mergeCell ref="E3:F3"/>
    <mergeCell ref="E4:E5"/>
    <mergeCell ref="F4:F5"/>
    <mergeCell ref="B44:B45"/>
    <mergeCell ref="C38:D38"/>
    <mergeCell ref="C39:D39"/>
    <mergeCell ref="C40:D40"/>
    <mergeCell ref="C41:D41"/>
    <mergeCell ref="B17:B18"/>
    <mergeCell ref="B19:B20"/>
    <mergeCell ref="C33:D33"/>
    <mergeCell ref="B21:B22"/>
    <mergeCell ref="C29:I29"/>
    <mergeCell ref="C37:D37"/>
    <mergeCell ref="C11:K12"/>
    <mergeCell ref="C13:K14"/>
    <mergeCell ref="C15:K16"/>
    <mergeCell ref="C35:D35"/>
    <mergeCell ref="N6:O6"/>
    <mergeCell ref="C30:I30"/>
    <mergeCell ref="K29:O30"/>
    <mergeCell ref="C17:K18"/>
    <mergeCell ref="C19:K20"/>
    <mergeCell ref="C21:K22"/>
    <mergeCell ref="C25:O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rgb="FFFF0000"/>
  </sheetPr>
  <dimension ref="A1:V50"/>
  <sheetViews>
    <sheetView workbookViewId="0">
      <pane ySplit="6" topLeftCell="A7" activePane="bottomLeft" state="frozen"/>
      <selection pane="bottomLeft" activeCell="E48" sqref="E48:E50"/>
    </sheetView>
  </sheetViews>
  <sheetFormatPr defaultRowHeight="15"/>
  <cols>
    <col min="2" max="2" width="11.5703125" style="1" customWidth="1"/>
    <col min="3" max="3" width="10.85546875" style="490" customWidth="1"/>
    <col min="4" max="4" width="11.5703125" customWidth="1"/>
    <col min="5" max="5" width="16.5703125" customWidth="1"/>
    <col min="6" max="6" width="10.85546875" style="490" customWidth="1"/>
    <col min="7" max="7" width="10.7109375" style="490" customWidth="1"/>
    <col min="8" max="8" width="9.140625" style="490"/>
    <col min="9" max="9" width="7" style="490" customWidth="1"/>
    <col min="10" max="11" width="7.85546875" customWidth="1"/>
    <col min="12" max="12" width="9.28515625" customWidth="1"/>
    <col min="13" max="15" width="7.85546875" customWidth="1"/>
    <col min="17" max="17" width="9.140625" style="490"/>
    <col min="18" max="18" width="10" style="490" customWidth="1"/>
    <col min="19" max="20" width="11.28515625" style="490" customWidth="1"/>
    <col min="21" max="21" width="9.140625" style="490"/>
    <col min="22" max="22" width="10.140625" style="490" bestFit="1" customWidth="1"/>
  </cols>
  <sheetData>
    <row r="1" spans="1:22" ht="19.5" thickBot="1">
      <c r="A1" s="3">
        <f>'1. KEY DATA'!C3</f>
        <v>0</v>
      </c>
    </row>
    <row r="2" spans="1:22" ht="16.5" customHeight="1">
      <c r="A2" s="3" t="s">
        <v>362</v>
      </c>
      <c r="C2" s="982"/>
      <c r="D2" s="1150">
        <f>'1. KEY DATA'!F6</f>
        <v>364</v>
      </c>
      <c r="F2" s="1303" t="s">
        <v>382</v>
      </c>
      <c r="G2" s="1308" t="s">
        <v>384</v>
      </c>
      <c r="H2" s="1305" t="s">
        <v>385</v>
      </c>
      <c r="I2" s="1311" t="s">
        <v>5</v>
      </c>
      <c r="J2" s="1314" t="s">
        <v>279</v>
      </c>
      <c r="K2" s="654"/>
      <c r="L2" s="655"/>
      <c r="M2" s="655"/>
      <c r="N2" s="655"/>
      <c r="O2" s="655"/>
      <c r="S2"/>
      <c r="T2"/>
      <c r="U2" s="86" t="s">
        <v>90</v>
      </c>
      <c r="V2" s="87">
        <f>'1. KEY DATA'!C4</f>
        <v>0</v>
      </c>
    </row>
    <row r="3" spans="1:22" ht="27" customHeight="1">
      <c r="F3" s="1304"/>
      <c r="G3" s="1309"/>
      <c r="H3" s="1306"/>
      <c r="I3" s="1312"/>
      <c r="J3" s="1315"/>
      <c r="K3" s="654"/>
      <c r="L3" s="655"/>
      <c r="M3" s="655"/>
      <c r="N3" s="655"/>
      <c r="O3" s="655"/>
    </row>
    <row r="4" spans="1:22" ht="16.5" customHeight="1">
      <c r="F4" s="1304"/>
      <c r="G4" s="1309"/>
      <c r="H4" s="1306"/>
      <c r="I4" s="1312"/>
      <c r="J4" s="1315"/>
      <c r="K4" s="654"/>
      <c r="L4" s="961"/>
      <c r="M4" s="961"/>
      <c r="N4" s="655"/>
      <c r="O4" s="655"/>
      <c r="P4" s="618"/>
      <c r="Q4" s="1275" t="s">
        <v>329</v>
      </c>
      <c r="R4" s="1276"/>
      <c r="S4" s="1276"/>
      <c r="T4" s="1276"/>
      <c r="U4" s="1276"/>
      <c r="V4" s="1277"/>
    </row>
    <row r="5" spans="1:22" ht="30.75" customHeight="1" thickBot="1">
      <c r="B5" s="2" t="s">
        <v>339</v>
      </c>
      <c r="F5" s="1304"/>
      <c r="G5" s="1309"/>
      <c r="H5" s="1306"/>
      <c r="I5" s="1312"/>
      <c r="J5" s="1315"/>
      <c r="K5" s="654"/>
      <c r="L5" s="655"/>
      <c r="M5" s="655"/>
      <c r="N5" s="655"/>
      <c r="O5" s="655"/>
      <c r="P5" s="1330"/>
      <c r="Q5" s="1319" t="s">
        <v>327</v>
      </c>
      <c r="R5" s="1317" t="s">
        <v>328</v>
      </c>
      <c r="S5" s="1319" t="s">
        <v>301</v>
      </c>
      <c r="T5" s="1317" t="s">
        <v>346</v>
      </c>
      <c r="U5" s="1328" t="s">
        <v>351</v>
      </c>
      <c r="V5" s="1323" t="s">
        <v>331</v>
      </c>
    </row>
    <row r="6" spans="1:22" ht="22.5" customHeight="1" thickBot="1">
      <c r="F6" s="1304"/>
      <c r="G6" s="1310"/>
      <c r="H6" s="1307"/>
      <c r="I6" s="1313"/>
      <c r="J6" s="1316"/>
      <c r="K6" s="1325" t="s">
        <v>295</v>
      </c>
      <c r="L6" s="1326"/>
      <c r="M6" s="1326"/>
      <c r="N6" s="1326"/>
      <c r="O6" s="1327"/>
      <c r="P6" s="1330"/>
      <c r="Q6" s="1320"/>
      <c r="R6" s="1318"/>
      <c r="S6" s="1320"/>
      <c r="T6" s="1318"/>
      <c r="U6" s="1329"/>
      <c r="V6" s="1324"/>
    </row>
    <row r="7" spans="1:22" ht="15.75" customHeight="1">
      <c r="F7" s="707" t="s">
        <v>266</v>
      </c>
      <c r="G7" s="708" t="s">
        <v>383</v>
      </c>
      <c r="H7" s="709" t="s">
        <v>386</v>
      </c>
      <c r="I7" s="710" t="s">
        <v>5</v>
      </c>
      <c r="J7" s="711" t="s">
        <v>265</v>
      </c>
      <c r="K7" s="707" t="s">
        <v>266</v>
      </c>
      <c r="L7" s="708" t="s">
        <v>383</v>
      </c>
      <c r="M7" s="709" t="s">
        <v>386</v>
      </c>
      <c r="N7" s="710" t="s">
        <v>5</v>
      </c>
      <c r="O7" s="711" t="s">
        <v>265</v>
      </c>
      <c r="Q7" s="877"/>
      <c r="R7" s="884"/>
      <c r="S7" s="880"/>
      <c r="T7" s="1132"/>
      <c r="U7" s="1136"/>
      <c r="V7" s="1132"/>
    </row>
    <row r="8" spans="1:22">
      <c r="B8" s="712" t="s">
        <v>275</v>
      </c>
      <c r="C8" s="713"/>
      <c r="D8" s="714"/>
      <c r="E8" s="714"/>
      <c r="F8" s="715"/>
      <c r="G8" s="716"/>
      <c r="H8" s="717"/>
      <c r="I8" s="718"/>
      <c r="J8" s="719"/>
      <c r="K8" s="752"/>
      <c r="L8" s="753"/>
      <c r="M8" s="753"/>
      <c r="N8" s="753"/>
      <c r="O8" s="754"/>
      <c r="Q8" s="878" t="s">
        <v>282</v>
      </c>
      <c r="R8" s="885">
        <v>0.125</v>
      </c>
      <c r="S8" s="881"/>
      <c r="T8" s="1133" t="s">
        <v>350</v>
      </c>
      <c r="U8" s="1137" t="s">
        <v>229</v>
      </c>
      <c r="V8" s="1139">
        <v>0</v>
      </c>
    </row>
    <row r="9" spans="1:22">
      <c r="B9" s="720" t="s">
        <v>267</v>
      </c>
      <c r="C9" s="721">
        <v>1.1000000000000001</v>
      </c>
      <c r="D9" s="722"/>
      <c r="E9" s="722"/>
      <c r="F9" s="723">
        <f>659.6/38</f>
        <v>17.357894736842105</v>
      </c>
      <c r="G9" s="724">
        <v>16.89</v>
      </c>
      <c r="H9" s="725">
        <v>17.73</v>
      </c>
      <c r="I9" s="726">
        <v>21</v>
      </c>
      <c r="J9" s="727">
        <v>16.312584162128836</v>
      </c>
      <c r="K9" s="755">
        <f>IF(ROUNDUP($C10,0)=ROUNDUP($C9,0),F10,0)</f>
        <v>17.939473684210526</v>
      </c>
      <c r="L9" s="756">
        <f>IF(ROUNDUP($C10,0)=ROUNDUP($C9,0),G10,0)</f>
        <v>16.98</v>
      </c>
      <c r="M9" s="756">
        <f>IF(ROUNDUP($C10,0)=ROUNDUP($C9,0),H10,0)</f>
        <v>17.73</v>
      </c>
      <c r="N9" s="756">
        <f>IF(ROUNDUP($C10,0)=ROUNDUP($C9,0),I10,0)</f>
        <v>22</v>
      </c>
      <c r="O9" s="757">
        <f>IF(ROUNDUP($C10,0)=ROUNDUP($C9,0),J10,0)</f>
        <v>16.861431970162858</v>
      </c>
      <c r="Q9" s="878" t="s">
        <v>283</v>
      </c>
      <c r="R9" s="886">
        <v>0.15</v>
      </c>
      <c r="S9" s="882">
        <v>0.01</v>
      </c>
      <c r="T9" s="1134">
        <v>0.5</v>
      </c>
      <c r="U9" s="1138" t="s">
        <v>230</v>
      </c>
      <c r="V9" s="1139">
        <v>0.1</v>
      </c>
    </row>
    <row r="10" spans="1:22">
      <c r="B10" s="720"/>
      <c r="C10" s="721">
        <v>1.2</v>
      </c>
      <c r="D10" s="722"/>
      <c r="E10" s="722"/>
      <c r="F10" s="723">
        <f>681.7/38</f>
        <v>17.939473684210526</v>
      </c>
      <c r="G10" s="724">
        <v>16.98</v>
      </c>
      <c r="H10" s="725">
        <v>17.73</v>
      </c>
      <c r="I10" s="726">
        <v>22</v>
      </c>
      <c r="J10" s="727">
        <v>16.861431970162858</v>
      </c>
      <c r="K10" s="755">
        <f t="shared" ref="K10:K35" si="0">IF(ROUNDUP($C11,0)=ROUNDUP($C10,0),F11,0)</f>
        <v>18.581578947368421</v>
      </c>
      <c r="L10" s="756">
        <f t="shared" ref="L10:L35" si="1">IF(ROUNDUP($C11,0)=ROUNDUP($C10,0),G11,0)</f>
        <v>17.079999999999998</v>
      </c>
      <c r="M10" s="756">
        <f t="shared" ref="M10:M35" si="2">IF(ROUNDUP($C11,0)=ROUNDUP($C10,0),H11,0)</f>
        <v>17.73</v>
      </c>
      <c r="N10" s="756">
        <f t="shared" ref="N10:N35" si="3">IF(ROUNDUP($C11,0)=ROUNDUP($C10,0),I11,0)</f>
        <v>0</v>
      </c>
      <c r="O10" s="757">
        <f t="shared" ref="O10:O35" si="4">IF(ROUNDUP($C11,0)=ROUNDUP($C10,0),J11,0)</f>
        <v>0</v>
      </c>
      <c r="Q10" s="878" t="s">
        <v>284</v>
      </c>
      <c r="R10" s="886">
        <v>0.2</v>
      </c>
      <c r="S10" s="882">
        <v>1.4999999999999999E-2</v>
      </c>
      <c r="T10" s="1134">
        <v>1</v>
      </c>
      <c r="V10" s="1139">
        <v>0.2</v>
      </c>
    </row>
    <row r="11" spans="1:22">
      <c r="B11" s="720"/>
      <c r="C11" s="721">
        <v>1.3</v>
      </c>
      <c r="D11" s="722"/>
      <c r="E11" s="722"/>
      <c r="F11" s="723">
        <f>706.1/38</f>
        <v>18.581578947368421</v>
      </c>
      <c r="G11" s="724">
        <v>17.079999999999998</v>
      </c>
      <c r="H11" s="725">
        <v>17.73</v>
      </c>
      <c r="I11" s="726"/>
      <c r="J11" s="727"/>
      <c r="K11" s="755">
        <f t="shared" si="0"/>
        <v>0</v>
      </c>
      <c r="L11" s="756">
        <f t="shared" si="1"/>
        <v>0</v>
      </c>
      <c r="M11" s="756">
        <f t="shared" si="2"/>
        <v>0</v>
      </c>
      <c r="N11" s="756">
        <f t="shared" si="3"/>
        <v>0</v>
      </c>
      <c r="O11" s="757">
        <f t="shared" si="4"/>
        <v>0</v>
      </c>
      <c r="Q11" s="878" t="s">
        <v>285</v>
      </c>
      <c r="R11" s="886">
        <v>0.3</v>
      </c>
      <c r="S11" s="882">
        <v>0.02</v>
      </c>
      <c r="T11" s="1134">
        <v>1.5</v>
      </c>
      <c r="V11" s="1139">
        <v>0.25</v>
      </c>
    </row>
    <row r="12" spans="1:22">
      <c r="B12" s="720" t="s">
        <v>268</v>
      </c>
      <c r="C12" s="721">
        <v>2.1</v>
      </c>
      <c r="D12" s="722"/>
      <c r="E12" s="722"/>
      <c r="F12" s="723">
        <f>706.1/38</f>
        <v>18.581578947368421</v>
      </c>
      <c r="G12" s="724">
        <v>17.96</v>
      </c>
      <c r="H12" s="725">
        <v>18.510000000000002</v>
      </c>
      <c r="I12" s="726">
        <v>23</v>
      </c>
      <c r="J12" s="727">
        <v>17.463247627317809</v>
      </c>
      <c r="K12" s="755">
        <f t="shared" si="0"/>
        <v>19.16578947368421</v>
      </c>
      <c r="L12" s="756">
        <f t="shared" si="1"/>
        <v>18.16</v>
      </c>
      <c r="M12" s="756">
        <f t="shared" si="2"/>
        <v>18.55</v>
      </c>
      <c r="N12" s="756">
        <f t="shared" si="3"/>
        <v>24</v>
      </c>
      <c r="O12" s="757">
        <f t="shared" si="4"/>
        <v>18.012095435351831</v>
      </c>
      <c r="Q12" s="878" t="s">
        <v>286</v>
      </c>
      <c r="R12" s="886">
        <v>0.5</v>
      </c>
      <c r="S12" s="882">
        <v>2.5000000000000001E-2</v>
      </c>
      <c r="T12" s="1134">
        <v>1.7</v>
      </c>
      <c r="V12" s="1139">
        <v>0.3</v>
      </c>
    </row>
    <row r="13" spans="1:22">
      <c r="B13" s="720"/>
      <c r="C13" s="721">
        <v>2.2000000000000002</v>
      </c>
      <c r="D13" s="722"/>
      <c r="E13" s="722"/>
      <c r="F13" s="723">
        <f>728.3/38</f>
        <v>19.16578947368421</v>
      </c>
      <c r="G13" s="724">
        <v>18.16</v>
      </c>
      <c r="H13" s="725">
        <v>18.55</v>
      </c>
      <c r="I13" s="726">
        <v>24</v>
      </c>
      <c r="J13" s="727">
        <v>18.012095435351831</v>
      </c>
      <c r="K13" s="755">
        <f t="shared" si="0"/>
        <v>19.747368421052631</v>
      </c>
      <c r="L13" s="756">
        <f t="shared" si="1"/>
        <v>18.29</v>
      </c>
      <c r="M13" s="756">
        <f t="shared" si="2"/>
        <v>18.760000000000002</v>
      </c>
      <c r="N13" s="756">
        <f t="shared" si="3"/>
        <v>25</v>
      </c>
      <c r="O13" s="757">
        <f t="shared" si="4"/>
        <v>18.560943243385857</v>
      </c>
      <c r="Q13" s="878" t="s">
        <v>287</v>
      </c>
      <c r="R13" s="886">
        <v>0.55000000000000004</v>
      </c>
      <c r="S13" s="882">
        <v>0.03</v>
      </c>
      <c r="T13" s="1135">
        <v>2.2000000000000002</v>
      </c>
      <c r="V13" s="1139">
        <v>0.33</v>
      </c>
    </row>
    <row r="14" spans="1:22">
      <c r="B14" s="720"/>
      <c r="C14" s="721">
        <v>2.2999999999999998</v>
      </c>
      <c r="D14" s="722"/>
      <c r="E14" s="722"/>
      <c r="F14" s="723">
        <f>750.4/38</f>
        <v>19.747368421052631</v>
      </c>
      <c r="G14" s="724">
        <v>18.29</v>
      </c>
      <c r="H14" s="725">
        <v>18.760000000000002</v>
      </c>
      <c r="I14" s="726">
        <v>25</v>
      </c>
      <c r="J14" s="727">
        <v>18.560943243385857</v>
      </c>
      <c r="K14" s="755">
        <f t="shared" si="0"/>
        <v>20.276315789473685</v>
      </c>
      <c r="L14" s="756">
        <f t="shared" si="1"/>
        <v>18.329999999999998</v>
      </c>
      <c r="M14" s="756">
        <f t="shared" si="2"/>
        <v>18.89</v>
      </c>
      <c r="N14" s="756">
        <f t="shared" si="3"/>
        <v>0</v>
      </c>
      <c r="O14" s="757">
        <f t="shared" si="4"/>
        <v>0</v>
      </c>
      <c r="Q14" s="878" t="s">
        <v>280</v>
      </c>
      <c r="R14" s="886">
        <v>1</v>
      </c>
      <c r="S14" s="882">
        <v>3.5000000000000003E-2</v>
      </c>
      <c r="T14" s="1131"/>
      <c r="V14" s="1139">
        <v>0.4</v>
      </c>
    </row>
    <row r="15" spans="1:22">
      <c r="B15" s="720"/>
      <c r="C15" s="721">
        <v>2.4</v>
      </c>
      <c r="D15" s="722"/>
      <c r="E15" s="722"/>
      <c r="F15" s="723">
        <f>770.5/38</f>
        <v>20.276315789473685</v>
      </c>
      <c r="G15" s="724">
        <v>18.329999999999998</v>
      </c>
      <c r="H15" s="725">
        <v>18.89</v>
      </c>
      <c r="I15" s="726"/>
      <c r="J15" s="727"/>
      <c r="K15" s="755">
        <f t="shared" si="0"/>
        <v>0</v>
      </c>
      <c r="L15" s="756">
        <f t="shared" si="1"/>
        <v>0</v>
      </c>
      <c r="M15" s="756">
        <f t="shared" si="2"/>
        <v>0</v>
      </c>
      <c r="N15" s="756">
        <f t="shared" si="3"/>
        <v>0</v>
      </c>
      <c r="O15" s="757">
        <f t="shared" si="4"/>
        <v>0</v>
      </c>
      <c r="Q15" s="879" t="s">
        <v>281</v>
      </c>
      <c r="R15" s="886">
        <v>1.5</v>
      </c>
      <c r="S15" s="882">
        <v>0.04</v>
      </c>
      <c r="T15" s="1131"/>
      <c r="V15" s="1139">
        <v>0.5</v>
      </c>
    </row>
    <row r="16" spans="1:22">
      <c r="B16" s="720" t="s">
        <v>269</v>
      </c>
      <c r="C16" s="721">
        <v>3.1</v>
      </c>
      <c r="D16" s="722"/>
      <c r="E16" s="722"/>
      <c r="F16" s="723">
        <f>770.5/38</f>
        <v>20.276315789473685</v>
      </c>
      <c r="G16" s="724">
        <v>18.579999999999998</v>
      </c>
      <c r="H16" s="725">
        <v>18.579999999999998</v>
      </c>
      <c r="I16" s="726">
        <v>26</v>
      </c>
      <c r="J16" s="727">
        <v>19.057832113710774</v>
      </c>
      <c r="K16" s="755">
        <f>IF(ROUNDUP($C17,0)=ROUNDUP($C16,0),F17,0)</f>
        <v>20.860526315789475</v>
      </c>
      <c r="L16" s="756">
        <f t="shared" si="1"/>
        <v>19.16</v>
      </c>
      <c r="M16" s="756">
        <f t="shared" si="2"/>
        <v>19.05</v>
      </c>
      <c r="N16" s="756">
        <f t="shared" si="3"/>
        <v>27</v>
      </c>
      <c r="O16" s="757">
        <f t="shared" si="4"/>
        <v>19.606679921744796</v>
      </c>
      <c r="Q16" s="703"/>
      <c r="R16" s="886">
        <v>1.7</v>
      </c>
      <c r="S16" s="882">
        <v>4.4999999999999998E-2</v>
      </c>
      <c r="T16" s="1131"/>
      <c r="V16" s="1139">
        <v>0.6</v>
      </c>
    </row>
    <row r="17" spans="2:22">
      <c r="B17" s="720"/>
      <c r="C17" s="721">
        <v>3.2</v>
      </c>
      <c r="D17" s="722"/>
      <c r="E17" s="722"/>
      <c r="F17" s="723">
        <f>792.7/38</f>
        <v>20.860526315789475</v>
      </c>
      <c r="G17" s="724">
        <v>19.16</v>
      </c>
      <c r="H17" s="725">
        <v>19.05</v>
      </c>
      <c r="I17" s="726">
        <v>27</v>
      </c>
      <c r="J17" s="727">
        <v>19.606679921744796</v>
      </c>
      <c r="K17" s="755">
        <f t="shared" si="0"/>
        <v>21.305263157894739</v>
      </c>
      <c r="L17" s="756">
        <f t="shared" si="1"/>
        <v>19.16</v>
      </c>
      <c r="M17" s="756">
        <f t="shared" si="2"/>
        <v>19.649999999999999</v>
      </c>
      <c r="N17" s="756">
        <f t="shared" si="3"/>
        <v>28</v>
      </c>
      <c r="O17" s="757">
        <f t="shared" si="4"/>
        <v>20.023864790535363</v>
      </c>
      <c r="Q17" s="703"/>
      <c r="R17" s="887">
        <v>2.2000000000000002</v>
      </c>
      <c r="S17" s="882">
        <v>0.05</v>
      </c>
      <c r="T17" s="1131"/>
      <c r="V17" s="1139">
        <v>0.66</v>
      </c>
    </row>
    <row r="18" spans="2:22">
      <c r="B18" s="720"/>
      <c r="C18" s="721">
        <v>3.3</v>
      </c>
      <c r="D18" s="722"/>
      <c r="E18" s="722"/>
      <c r="F18" s="723">
        <f>809.6/38</f>
        <v>21.305263157894739</v>
      </c>
      <c r="G18" s="724">
        <v>19.16</v>
      </c>
      <c r="H18" s="725">
        <v>19.649999999999999</v>
      </c>
      <c r="I18" s="726">
        <v>28</v>
      </c>
      <c r="J18" s="727">
        <v>20.023864790535363</v>
      </c>
      <c r="K18" s="755">
        <f t="shared" si="0"/>
        <v>21.739473684210527</v>
      </c>
      <c r="L18" s="756">
        <f t="shared" si="1"/>
        <v>19.5</v>
      </c>
      <c r="M18" s="756">
        <f t="shared" si="2"/>
        <v>19.78</v>
      </c>
      <c r="N18" s="756">
        <f t="shared" si="3"/>
        <v>0</v>
      </c>
      <c r="O18" s="757">
        <f t="shared" si="4"/>
        <v>0</v>
      </c>
      <c r="Q18" s="703"/>
      <c r="S18" s="882">
        <v>5.5E-2</v>
      </c>
      <c r="T18" s="1131"/>
      <c r="U18" s="703"/>
      <c r="V18" s="1139">
        <v>0.7</v>
      </c>
    </row>
    <row r="19" spans="2:22">
      <c r="B19" s="720"/>
      <c r="C19" s="721">
        <v>3.4</v>
      </c>
      <c r="D19" s="722"/>
      <c r="E19" s="722"/>
      <c r="F19" s="723">
        <f>826.1/38</f>
        <v>21.739473684210527</v>
      </c>
      <c r="G19" s="724">
        <v>19.5</v>
      </c>
      <c r="H19" s="725">
        <v>19.78</v>
      </c>
      <c r="I19" s="726"/>
      <c r="J19" s="727"/>
      <c r="K19" s="755">
        <f t="shared" si="0"/>
        <v>0</v>
      </c>
      <c r="L19" s="756">
        <f t="shared" si="1"/>
        <v>0</v>
      </c>
      <c r="M19" s="756">
        <f t="shared" si="2"/>
        <v>0</v>
      </c>
      <c r="N19" s="756">
        <f t="shared" si="3"/>
        <v>0</v>
      </c>
      <c r="O19" s="757">
        <f t="shared" si="4"/>
        <v>0</v>
      </c>
      <c r="Q19" s="703"/>
      <c r="S19" s="882">
        <v>0.06</v>
      </c>
      <c r="T19" s="1131"/>
      <c r="U19" s="703"/>
      <c r="V19" s="1139">
        <v>0.75</v>
      </c>
    </row>
    <row r="20" spans="2:22">
      <c r="B20" s="720" t="s">
        <v>270</v>
      </c>
      <c r="C20" s="721">
        <v>4.0999999999999996</v>
      </c>
      <c r="D20" s="722"/>
      <c r="E20" s="722"/>
      <c r="F20" s="723">
        <f>848.2/38</f>
        <v>22.321052631578947</v>
      </c>
      <c r="G20" s="724">
        <v>20.27</v>
      </c>
      <c r="H20" s="725">
        <v>20.27</v>
      </c>
      <c r="I20" s="726">
        <v>29</v>
      </c>
      <c r="J20" s="727">
        <v>20.023864790535363</v>
      </c>
      <c r="K20" s="755">
        <f t="shared" si="0"/>
        <v>22.905263157894737</v>
      </c>
      <c r="L20" s="756">
        <f t="shared" si="1"/>
        <v>20.68</v>
      </c>
      <c r="M20" s="756">
        <f t="shared" si="2"/>
        <v>20.68</v>
      </c>
      <c r="N20" s="756">
        <f t="shared" si="3"/>
        <v>30</v>
      </c>
      <c r="O20" s="757">
        <f t="shared" si="4"/>
        <v>20.430960545207657</v>
      </c>
      <c r="Q20" s="703"/>
      <c r="S20" s="882">
        <v>6.5000000000000002E-2</v>
      </c>
      <c r="T20" s="1131"/>
      <c r="U20" s="703"/>
      <c r="V20" s="1139">
        <v>0.8</v>
      </c>
    </row>
    <row r="21" spans="2:22">
      <c r="B21" s="720"/>
      <c r="C21" s="721">
        <v>4.2</v>
      </c>
      <c r="D21" s="722"/>
      <c r="E21" s="722"/>
      <c r="F21" s="723">
        <f>870.4/38</f>
        <v>22.905263157894737</v>
      </c>
      <c r="G21" s="724">
        <v>20.68</v>
      </c>
      <c r="H21" s="725">
        <v>20.68</v>
      </c>
      <c r="I21" s="726">
        <v>30</v>
      </c>
      <c r="J21" s="727">
        <v>20.430960545207657</v>
      </c>
      <c r="K21" s="755">
        <f t="shared" si="0"/>
        <v>23.492105263157896</v>
      </c>
      <c r="L21" s="756">
        <f t="shared" si="1"/>
        <v>20.68</v>
      </c>
      <c r="M21" s="756">
        <f t="shared" si="2"/>
        <v>0</v>
      </c>
      <c r="N21" s="756">
        <f t="shared" si="3"/>
        <v>31</v>
      </c>
      <c r="O21" s="757">
        <f t="shared" si="4"/>
        <v>20.97980835324168</v>
      </c>
      <c r="Q21" s="703"/>
      <c r="S21" s="882">
        <v>7.0000000000000007E-2</v>
      </c>
      <c r="T21" s="1131"/>
      <c r="V21" s="1139">
        <v>0.9</v>
      </c>
    </row>
    <row r="22" spans="2:22">
      <c r="B22" s="720"/>
      <c r="C22" s="721">
        <v>4.3</v>
      </c>
      <c r="D22" s="722"/>
      <c r="E22" s="722"/>
      <c r="F22" s="723">
        <f>892.7/38</f>
        <v>23.492105263157896</v>
      </c>
      <c r="G22" s="724">
        <v>20.68</v>
      </c>
      <c r="H22" s="725"/>
      <c r="I22" s="726">
        <v>31</v>
      </c>
      <c r="J22" s="727">
        <v>20.97980835324168</v>
      </c>
      <c r="K22" s="755">
        <f t="shared" si="0"/>
        <v>24.018421052631581</v>
      </c>
      <c r="L22" s="756">
        <f t="shared" si="1"/>
        <v>20.68</v>
      </c>
      <c r="M22" s="756">
        <f t="shared" si="2"/>
        <v>0</v>
      </c>
      <c r="N22" s="756">
        <f t="shared" si="3"/>
        <v>32</v>
      </c>
      <c r="O22" s="757">
        <f t="shared" si="4"/>
        <v>22.078008425015636</v>
      </c>
      <c r="S22" s="882">
        <v>7.4999999999999997E-2</v>
      </c>
      <c r="T22" s="1131"/>
      <c r="V22" s="1140">
        <v>1</v>
      </c>
    </row>
    <row r="23" spans="2:22">
      <c r="B23" s="720"/>
      <c r="C23" s="721">
        <v>4.4000000000000004</v>
      </c>
      <c r="D23" s="722"/>
      <c r="E23" s="722"/>
      <c r="F23" s="723">
        <f>912.7/38</f>
        <v>24.018421052631581</v>
      </c>
      <c r="G23" s="724">
        <v>20.68</v>
      </c>
      <c r="H23" s="725"/>
      <c r="I23" s="726">
        <v>32</v>
      </c>
      <c r="J23" s="727">
        <v>22.078008425015636</v>
      </c>
      <c r="K23" s="755">
        <f t="shared" si="0"/>
        <v>0</v>
      </c>
      <c r="L23" s="756">
        <f t="shared" si="1"/>
        <v>0</v>
      </c>
      <c r="M23" s="756">
        <f t="shared" si="2"/>
        <v>0</v>
      </c>
      <c r="N23" s="756">
        <f t="shared" si="3"/>
        <v>0</v>
      </c>
      <c r="O23" s="757">
        <f t="shared" si="4"/>
        <v>0</v>
      </c>
      <c r="S23" s="882">
        <v>0.08</v>
      </c>
      <c r="T23" s="1131"/>
    </row>
    <row r="24" spans="2:22">
      <c r="B24" s="720" t="s">
        <v>271</v>
      </c>
      <c r="C24" s="721">
        <v>5.0999999999999996</v>
      </c>
      <c r="D24" s="722"/>
      <c r="E24" s="722"/>
      <c r="F24" s="723">
        <f>934.9/38</f>
        <v>24.602631578947367</v>
      </c>
      <c r="G24" s="724">
        <v>21.73</v>
      </c>
      <c r="H24" s="725"/>
      <c r="I24" s="726">
        <v>33</v>
      </c>
      <c r="J24" s="727">
        <v>22.57439283963464</v>
      </c>
      <c r="K24" s="755">
        <f t="shared" si="0"/>
        <v>25.131578947368421</v>
      </c>
      <c r="L24" s="756">
        <f t="shared" si="1"/>
        <v>22.59</v>
      </c>
      <c r="M24" s="756">
        <f t="shared" si="2"/>
        <v>0</v>
      </c>
      <c r="N24" s="756">
        <f t="shared" si="3"/>
        <v>34</v>
      </c>
      <c r="O24" s="757">
        <f t="shared" si="4"/>
        <v>23.123240647668666</v>
      </c>
      <c r="S24" s="882">
        <v>8.5000000000000006E-2</v>
      </c>
      <c r="T24" s="1131"/>
    </row>
    <row r="25" spans="2:22">
      <c r="B25" s="720"/>
      <c r="C25" s="721">
        <v>5.2</v>
      </c>
      <c r="D25" s="722"/>
      <c r="E25" s="722"/>
      <c r="F25" s="723">
        <f>955/38</f>
        <v>25.131578947368421</v>
      </c>
      <c r="G25" s="724">
        <v>22.59</v>
      </c>
      <c r="H25" s="725"/>
      <c r="I25" s="726">
        <v>34</v>
      </c>
      <c r="J25" s="727">
        <v>23.123240647668666</v>
      </c>
      <c r="K25" s="755">
        <f t="shared" si="0"/>
        <v>25.715789473684211</v>
      </c>
      <c r="L25" s="756">
        <f t="shared" si="1"/>
        <v>22.93</v>
      </c>
      <c r="M25" s="756">
        <f t="shared" si="2"/>
        <v>0</v>
      </c>
      <c r="N25" s="756">
        <f t="shared" si="3"/>
        <v>35</v>
      </c>
      <c r="O25" s="757">
        <f t="shared" si="4"/>
        <v>23.619625062287668</v>
      </c>
      <c r="S25" s="882">
        <v>0.09</v>
      </c>
      <c r="T25" s="1131"/>
    </row>
    <row r="26" spans="2:22">
      <c r="B26" s="720"/>
      <c r="C26" s="721">
        <v>5.3</v>
      </c>
      <c r="D26" s="722"/>
      <c r="E26" s="722"/>
      <c r="F26" s="723">
        <f>977.2/38</f>
        <v>25.715789473684211</v>
      </c>
      <c r="G26" s="724">
        <v>22.93</v>
      </c>
      <c r="H26" s="725"/>
      <c r="I26" s="726">
        <v>35</v>
      </c>
      <c r="J26" s="727">
        <v>23.619625062287668</v>
      </c>
      <c r="K26" s="755">
        <f t="shared" si="0"/>
        <v>0</v>
      </c>
      <c r="L26" s="756">
        <f t="shared" si="1"/>
        <v>0</v>
      </c>
      <c r="M26" s="756">
        <f t="shared" si="2"/>
        <v>0</v>
      </c>
      <c r="N26" s="756">
        <f t="shared" si="3"/>
        <v>0</v>
      </c>
      <c r="O26" s="757">
        <f t="shared" si="4"/>
        <v>0</v>
      </c>
      <c r="S26" s="882">
        <v>9.5000000000000001E-2</v>
      </c>
      <c r="T26" s="1131"/>
    </row>
    <row r="27" spans="2:22">
      <c r="B27" s="720" t="s">
        <v>272</v>
      </c>
      <c r="C27" s="721">
        <v>6.1</v>
      </c>
      <c r="D27" s="722"/>
      <c r="E27" s="722"/>
      <c r="F27" s="723">
        <f>999.4/38</f>
        <v>26.3</v>
      </c>
      <c r="G27" s="724">
        <v>23.22</v>
      </c>
      <c r="H27" s="725"/>
      <c r="I27" s="726">
        <v>36</v>
      </c>
      <c r="J27" s="727">
        <v>24.168977326027605</v>
      </c>
      <c r="K27" s="755">
        <f t="shared" si="0"/>
        <v>26.88421052631579</v>
      </c>
      <c r="L27" s="756">
        <f t="shared" si="1"/>
        <v>0</v>
      </c>
      <c r="M27" s="756">
        <f t="shared" si="2"/>
        <v>0</v>
      </c>
      <c r="N27" s="756">
        <f t="shared" si="3"/>
        <v>37</v>
      </c>
      <c r="O27" s="757">
        <f t="shared" si="4"/>
        <v>24.717825134061627</v>
      </c>
      <c r="S27" s="883">
        <v>0.1</v>
      </c>
    </row>
    <row r="28" spans="2:22">
      <c r="B28" s="720"/>
      <c r="C28" s="721">
        <v>6.2</v>
      </c>
      <c r="D28" s="722"/>
      <c r="E28" s="722"/>
      <c r="F28" s="723">
        <f>1021.6/38</f>
        <v>26.88421052631579</v>
      </c>
      <c r="G28" s="724"/>
      <c r="H28" s="725"/>
      <c r="I28" s="726">
        <v>37</v>
      </c>
      <c r="J28" s="727">
        <v>24.717825134061627</v>
      </c>
      <c r="K28" s="755">
        <f t="shared" si="0"/>
        <v>27.468421052631577</v>
      </c>
      <c r="L28" s="756">
        <f t="shared" si="1"/>
        <v>0</v>
      </c>
      <c r="M28" s="756">
        <f t="shared" si="2"/>
        <v>0</v>
      </c>
      <c r="N28" s="756">
        <f t="shared" si="3"/>
        <v>38</v>
      </c>
      <c r="O28" s="757">
        <f t="shared" si="4"/>
        <v>25.266672942095649</v>
      </c>
    </row>
    <row r="29" spans="2:22">
      <c r="B29" s="720"/>
      <c r="C29" s="721">
        <v>6.3</v>
      </c>
      <c r="D29" s="722"/>
      <c r="E29" s="722"/>
      <c r="F29" s="723">
        <f>1043.8/38</f>
        <v>27.468421052631577</v>
      </c>
      <c r="G29" s="724"/>
      <c r="H29" s="725"/>
      <c r="I29" s="726">
        <v>38</v>
      </c>
      <c r="J29" s="727">
        <v>25.266672942095649</v>
      </c>
      <c r="K29" s="755">
        <f t="shared" si="0"/>
        <v>0</v>
      </c>
      <c r="L29" s="756">
        <f t="shared" si="1"/>
        <v>0</v>
      </c>
      <c r="M29" s="756">
        <f t="shared" si="2"/>
        <v>0</v>
      </c>
      <c r="N29" s="756">
        <f t="shared" si="3"/>
        <v>0</v>
      </c>
      <c r="O29" s="757">
        <f t="shared" si="4"/>
        <v>0</v>
      </c>
    </row>
    <row r="30" spans="2:22">
      <c r="B30" s="720" t="s">
        <v>273</v>
      </c>
      <c r="C30" s="721">
        <v>7.1</v>
      </c>
      <c r="D30" s="722"/>
      <c r="E30" s="722"/>
      <c r="F30" s="723">
        <f>1065.9/38</f>
        <v>28.05</v>
      </c>
      <c r="G30" s="724"/>
      <c r="H30" s="725"/>
      <c r="I30" s="726">
        <v>39</v>
      </c>
      <c r="J30" s="727">
        <v>25.815520750129668</v>
      </c>
      <c r="K30" s="755">
        <f t="shared" si="0"/>
        <v>28.63684210526316</v>
      </c>
      <c r="L30" s="756">
        <f t="shared" si="1"/>
        <v>0</v>
      </c>
      <c r="M30" s="756">
        <f t="shared" si="2"/>
        <v>0</v>
      </c>
      <c r="N30" s="756">
        <f t="shared" si="3"/>
        <v>40</v>
      </c>
      <c r="O30" s="757">
        <f t="shared" si="4"/>
        <v>26.364368558163694</v>
      </c>
    </row>
    <row r="31" spans="2:22">
      <c r="B31" s="720"/>
      <c r="C31" s="721">
        <v>7.2</v>
      </c>
      <c r="D31" s="722"/>
      <c r="E31" s="722"/>
      <c r="F31" s="723">
        <f>1088.2/38</f>
        <v>28.63684210526316</v>
      </c>
      <c r="G31" s="724"/>
      <c r="H31" s="725"/>
      <c r="I31" s="726">
        <v>40</v>
      </c>
      <c r="J31" s="727">
        <v>26.364368558163694</v>
      </c>
      <c r="K31" s="755">
        <f t="shared" si="0"/>
        <v>29.221052631578949</v>
      </c>
      <c r="L31" s="756">
        <f t="shared" si="1"/>
        <v>0</v>
      </c>
      <c r="M31" s="756">
        <f t="shared" si="2"/>
        <v>0</v>
      </c>
      <c r="N31" s="756">
        <f t="shared" si="3"/>
        <v>41</v>
      </c>
      <c r="O31" s="757">
        <f t="shared" si="4"/>
        <v>26.913216366197716</v>
      </c>
    </row>
    <row r="32" spans="2:22">
      <c r="B32" s="720"/>
      <c r="C32" s="1205">
        <v>7.3</v>
      </c>
      <c r="D32" s="722"/>
      <c r="E32" s="722"/>
      <c r="F32" s="723">
        <f>1110.4/38</f>
        <v>29.221052631578949</v>
      </c>
      <c r="G32" s="724"/>
      <c r="H32" s="725"/>
      <c r="I32" s="726">
        <v>41</v>
      </c>
      <c r="J32" s="727">
        <v>26.913216366197716</v>
      </c>
      <c r="K32" s="755">
        <f>IF(ROUNDUP($C33,0)=ROUNDUP($C32,0),F33,0)</f>
        <v>0</v>
      </c>
      <c r="L32" s="756">
        <f t="shared" si="1"/>
        <v>0</v>
      </c>
      <c r="M32" s="756">
        <f t="shared" si="2"/>
        <v>0</v>
      </c>
      <c r="N32" s="756">
        <f t="shared" si="3"/>
        <v>0</v>
      </c>
      <c r="O32" s="757">
        <f t="shared" si="4"/>
        <v>0</v>
      </c>
    </row>
    <row r="33" spans="2:20">
      <c r="B33" s="720" t="s">
        <v>274</v>
      </c>
      <c r="C33" s="721">
        <v>8.1</v>
      </c>
      <c r="D33" s="722"/>
      <c r="E33" s="722"/>
      <c r="F33" s="723">
        <f>1132.5/38</f>
        <v>29.80263157894737</v>
      </c>
      <c r="G33" s="724"/>
      <c r="H33" s="725"/>
      <c r="I33" s="726">
        <v>42</v>
      </c>
      <c r="J33" s="727">
        <v>28.011416437971672</v>
      </c>
      <c r="K33" s="755">
        <f t="shared" si="0"/>
        <v>30.38684210526316</v>
      </c>
      <c r="L33" s="756">
        <f t="shared" si="1"/>
        <v>0</v>
      </c>
      <c r="M33" s="756">
        <f t="shared" si="2"/>
        <v>0</v>
      </c>
      <c r="N33" s="756">
        <f t="shared" si="3"/>
        <v>43</v>
      </c>
      <c r="O33" s="757">
        <f t="shared" si="4"/>
        <v>28.560264246005694</v>
      </c>
    </row>
    <row r="34" spans="2:20">
      <c r="B34" s="720"/>
      <c r="C34" s="721">
        <v>8.1999999999999993</v>
      </c>
      <c r="D34" s="722"/>
      <c r="E34" s="722"/>
      <c r="F34" s="723">
        <f>1154.7/38</f>
        <v>30.38684210526316</v>
      </c>
      <c r="G34" s="724"/>
      <c r="H34" s="725"/>
      <c r="I34" s="726">
        <v>43</v>
      </c>
      <c r="J34" s="727">
        <v>28.560264246005694</v>
      </c>
      <c r="K34" s="755">
        <f t="shared" si="0"/>
        <v>30.973684210526315</v>
      </c>
      <c r="L34" s="756">
        <f t="shared" si="1"/>
        <v>0</v>
      </c>
      <c r="M34" s="756">
        <f t="shared" si="2"/>
        <v>0</v>
      </c>
      <c r="N34" s="756">
        <f t="shared" si="3"/>
        <v>44</v>
      </c>
      <c r="O34" s="757">
        <f t="shared" si="4"/>
        <v>29.109112054039716</v>
      </c>
    </row>
    <row r="35" spans="2:20">
      <c r="B35" s="720"/>
      <c r="C35" s="721">
        <v>8.3000000000000007</v>
      </c>
      <c r="D35" s="722"/>
      <c r="E35" s="722"/>
      <c r="F35" s="723">
        <f>1177/38</f>
        <v>30.973684210526315</v>
      </c>
      <c r="G35" s="724"/>
      <c r="H35" s="725"/>
      <c r="I35" s="726">
        <v>44</v>
      </c>
      <c r="J35" s="727">
        <v>29.109112054039716</v>
      </c>
      <c r="K35" s="755">
        <f t="shared" si="0"/>
        <v>0</v>
      </c>
      <c r="L35" s="756">
        <f t="shared" si="1"/>
        <v>0</v>
      </c>
      <c r="M35" s="756">
        <f t="shared" si="2"/>
        <v>0</v>
      </c>
      <c r="N35" s="756">
        <f t="shared" si="3"/>
        <v>0</v>
      </c>
      <c r="O35" s="757">
        <f t="shared" si="4"/>
        <v>0</v>
      </c>
    </row>
    <row r="36" spans="2:20">
      <c r="B36" s="728"/>
      <c r="C36" s="729"/>
      <c r="D36" s="730"/>
      <c r="E36" s="730"/>
      <c r="F36" s="731"/>
      <c r="G36" s="732"/>
      <c r="H36" s="733"/>
      <c r="I36" s="734"/>
      <c r="J36" s="735"/>
      <c r="K36" s="758"/>
      <c r="L36" s="759"/>
      <c r="M36" s="759"/>
      <c r="N36" s="759"/>
      <c r="O36" s="760"/>
    </row>
    <row r="37" spans="2:20">
      <c r="B37" s="704" t="s">
        <v>263</v>
      </c>
      <c r="C37" s="705"/>
      <c r="D37" s="706"/>
      <c r="E37" s="746"/>
      <c r="F37" s="736">
        <v>38</v>
      </c>
      <c r="G37" s="737">
        <v>38</v>
      </c>
      <c r="H37" s="738">
        <v>38</v>
      </c>
      <c r="I37" s="739">
        <v>37.5</v>
      </c>
      <c r="J37" s="751">
        <v>38</v>
      </c>
    </row>
    <row r="38" spans="2:20">
      <c r="B38" s="704" t="s">
        <v>314</v>
      </c>
      <c r="C38" s="705"/>
      <c r="D38" s="706"/>
      <c r="E38" s="746"/>
      <c r="F38" s="736">
        <v>20</v>
      </c>
      <c r="G38" s="737">
        <v>20</v>
      </c>
      <c r="H38" s="738">
        <v>20</v>
      </c>
      <c r="I38" s="739">
        <v>20</v>
      </c>
      <c r="J38" s="751">
        <v>20</v>
      </c>
    </row>
    <row r="39" spans="2:20">
      <c r="B39" s="704" t="s">
        <v>313</v>
      </c>
      <c r="C39" s="705"/>
      <c r="D39" s="706"/>
      <c r="E39" s="746"/>
      <c r="F39" s="736">
        <v>10</v>
      </c>
      <c r="G39" s="737">
        <v>10</v>
      </c>
      <c r="H39" s="738">
        <v>10</v>
      </c>
      <c r="I39" s="739">
        <v>10</v>
      </c>
      <c r="J39" s="751">
        <v>10</v>
      </c>
    </row>
    <row r="40" spans="2:20">
      <c r="B40" s="704" t="s">
        <v>232</v>
      </c>
      <c r="C40" s="705"/>
      <c r="D40" s="706"/>
      <c r="E40" s="746"/>
      <c r="F40" s="740">
        <v>0.17499999999999999</v>
      </c>
      <c r="G40" s="741">
        <v>0.17499999999999999</v>
      </c>
      <c r="H40" s="742">
        <v>0.17499999999999999</v>
      </c>
      <c r="I40" s="743">
        <v>0.17499999999999999</v>
      </c>
      <c r="J40" s="1101">
        <v>0.17499999999999999</v>
      </c>
    </row>
    <row r="41" spans="2:20">
      <c r="B41" s="704" t="s">
        <v>325</v>
      </c>
      <c r="C41" s="705"/>
      <c r="D41" s="706"/>
      <c r="E41" s="746"/>
      <c r="F41" s="736">
        <v>15</v>
      </c>
      <c r="G41" s="737">
        <v>15</v>
      </c>
      <c r="H41" s="738">
        <v>15</v>
      </c>
      <c r="I41" s="739">
        <v>15</v>
      </c>
      <c r="J41" s="751">
        <v>15</v>
      </c>
    </row>
    <row r="42" spans="2:20">
      <c r="B42" s="704" t="s">
        <v>326</v>
      </c>
      <c r="C42" s="705"/>
      <c r="D42" s="706"/>
      <c r="E42" s="746"/>
      <c r="F42" s="736">
        <v>13</v>
      </c>
      <c r="G42" s="737">
        <v>13</v>
      </c>
      <c r="H42" s="738">
        <v>13</v>
      </c>
      <c r="I42" s="739">
        <v>13</v>
      </c>
      <c r="J42" s="751">
        <v>13</v>
      </c>
    </row>
    <row r="43" spans="2:20">
      <c r="B43" s="704" t="s">
        <v>264</v>
      </c>
      <c r="C43" s="705"/>
      <c r="D43" s="706"/>
      <c r="E43" s="746"/>
      <c r="F43" s="744">
        <v>0.25</v>
      </c>
      <c r="G43" s="1102">
        <v>0.2</v>
      </c>
      <c r="H43" s="1199">
        <v>0.25</v>
      </c>
      <c r="I43" s="745">
        <v>0.2</v>
      </c>
      <c r="J43" s="1103">
        <v>0.25</v>
      </c>
    </row>
    <row r="44" spans="2:20">
      <c r="J44" s="490"/>
      <c r="T44" s="1149"/>
    </row>
    <row r="45" spans="2:20" ht="42" customHeight="1">
      <c r="B45" s="1284" t="s">
        <v>224</v>
      </c>
      <c r="C45" s="1285"/>
      <c r="D45" s="1285"/>
      <c r="E45" s="1286"/>
      <c r="F45" s="965">
        <v>0.1</v>
      </c>
      <c r="G45" s="966">
        <v>0.14299999999999999</v>
      </c>
      <c r="H45" s="967">
        <f t="shared" ref="H45:J46" si="5">G45</f>
        <v>0.14299999999999999</v>
      </c>
      <c r="I45" s="968">
        <f t="shared" si="5"/>
        <v>0.14299999999999999</v>
      </c>
      <c r="J45" s="969">
        <f t="shared" si="5"/>
        <v>0.14299999999999999</v>
      </c>
      <c r="K45" s="1321" t="s">
        <v>233</v>
      </c>
      <c r="L45" s="1321"/>
      <c r="M45" s="1321"/>
      <c r="N45" s="1321"/>
      <c r="O45" s="1321"/>
      <c r="P45" s="1321"/>
      <c r="Q45" s="1321"/>
      <c r="R45" s="1321"/>
      <c r="S45" s="1322"/>
    </row>
    <row r="46" spans="2:20">
      <c r="B46" s="1293" t="s">
        <v>388</v>
      </c>
      <c r="C46" s="1294"/>
      <c r="D46" s="1294"/>
      <c r="E46" s="1295"/>
      <c r="F46" s="1299">
        <v>26</v>
      </c>
      <c r="G46" s="1301">
        <f>F46</f>
        <v>26</v>
      </c>
      <c r="H46" s="1287">
        <f t="shared" si="5"/>
        <v>26</v>
      </c>
      <c r="I46" s="1289">
        <f t="shared" si="5"/>
        <v>26</v>
      </c>
      <c r="J46" s="1291">
        <f t="shared" si="5"/>
        <v>26</v>
      </c>
    </row>
    <row r="47" spans="2:20">
      <c r="B47" s="1296"/>
      <c r="C47" s="1297"/>
      <c r="D47" s="1297"/>
      <c r="E47" s="1298"/>
      <c r="F47" s="1300"/>
      <c r="G47" s="1302"/>
      <c r="H47" s="1288"/>
      <c r="I47" s="1290"/>
      <c r="J47" s="1292"/>
    </row>
    <row r="48" spans="2:20">
      <c r="B48" s="1278" t="s">
        <v>333</v>
      </c>
      <c r="C48" s="1279"/>
      <c r="D48" s="909" t="s">
        <v>340</v>
      </c>
      <c r="E48" s="875"/>
      <c r="F48" s="747"/>
      <c r="G48" s="748"/>
      <c r="H48" s="747"/>
      <c r="I48" s="747"/>
      <c r="J48" s="747"/>
    </row>
    <row r="49" spans="2:10">
      <c r="B49" s="1280"/>
      <c r="C49" s="1281"/>
      <c r="D49" s="910" t="s">
        <v>341</v>
      </c>
      <c r="E49" s="876"/>
      <c r="F49" s="749"/>
      <c r="G49" s="750"/>
      <c r="H49" s="749"/>
      <c r="I49" s="749"/>
      <c r="J49" s="749"/>
    </row>
    <row r="50" spans="2:10">
      <c r="B50" s="1282"/>
      <c r="C50" s="1283"/>
      <c r="D50" s="911" t="s">
        <v>342</v>
      </c>
      <c r="E50" s="803"/>
      <c r="F50" s="749"/>
      <c r="G50" s="750"/>
      <c r="H50" s="749"/>
      <c r="I50" s="749"/>
      <c r="J50" s="749"/>
    </row>
  </sheetData>
  <mergeCells count="23">
    <mergeCell ref="K45:S45"/>
    <mergeCell ref="V5:V6"/>
    <mergeCell ref="K6:O6"/>
    <mergeCell ref="U5:U6"/>
    <mergeCell ref="P5:P6"/>
    <mergeCell ref="Q5:Q6"/>
    <mergeCell ref="T5:T6"/>
    <mergeCell ref="Q4:V4"/>
    <mergeCell ref="B48:C50"/>
    <mergeCell ref="B45:E45"/>
    <mergeCell ref="H46:H47"/>
    <mergeCell ref="I46:I47"/>
    <mergeCell ref="J46:J47"/>
    <mergeCell ref="B46:E47"/>
    <mergeCell ref="F46:F47"/>
    <mergeCell ref="G46:G47"/>
    <mergeCell ref="F2:F6"/>
    <mergeCell ref="H2:H6"/>
    <mergeCell ref="G2:G6"/>
    <mergeCell ref="I2:I6"/>
    <mergeCell ref="J2:J6"/>
    <mergeCell ref="R5:R6"/>
    <mergeCell ref="S5:S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tabColor theme="1"/>
    <pageSetUpPr fitToPage="1"/>
  </sheetPr>
  <dimension ref="A1:CB82"/>
  <sheetViews>
    <sheetView zoomScaleNormal="100" workbookViewId="0">
      <pane xSplit="2" ySplit="10" topLeftCell="AV11" activePane="bottomRight" state="frozen"/>
      <selection pane="topRight" activeCell="C1" sqref="C1"/>
      <selection pane="bottomLeft" activeCell="A5" sqref="A5"/>
      <selection pane="bottomRight" activeCell="BO11" sqref="BO11"/>
    </sheetView>
  </sheetViews>
  <sheetFormatPr defaultRowHeight="15"/>
  <cols>
    <col min="1" max="1" width="3" customWidth="1"/>
    <col min="2" max="2" width="36" customWidth="1"/>
    <col min="3" max="3" width="1" customWidth="1"/>
    <col min="4" max="4" width="13.28515625" style="490" customWidth="1"/>
    <col min="5" max="6" width="12.85546875" style="490" customWidth="1"/>
    <col min="7" max="8" width="10.42578125" style="490" customWidth="1"/>
    <col min="9" max="11" width="10.85546875" customWidth="1"/>
    <col min="12" max="12" width="11.85546875" customWidth="1"/>
    <col min="13" max="13" width="9.5703125" customWidth="1"/>
    <col min="14" max="15" width="10.28515625" style="490" customWidth="1"/>
    <col min="16" max="16" width="9.28515625" style="490" customWidth="1"/>
    <col min="17" max="18" width="10.28515625" style="490" customWidth="1"/>
    <col min="19" max="19" width="1.140625" style="617" customWidth="1"/>
    <col min="20" max="20" width="12" style="490" customWidth="1"/>
    <col min="21" max="21" width="9.7109375" style="490" customWidth="1"/>
    <col min="22" max="23" width="11.28515625" style="490" customWidth="1"/>
    <col min="24" max="24" width="10.28515625" customWidth="1"/>
    <col min="25" max="25" width="10.28515625" style="490" customWidth="1"/>
    <col min="26" max="26" width="10.28515625" customWidth="1"/>
    <col min="27" max="27" width="10.140625" customWidth="1"/>
    <col min="28" max="28" width="1.28515625" customWidth="1"/>
    <col min="29" max="32" width="10.5703125" customWidth="1"/>
    <col min="33" max="33" width="9.28515625" bestFit="1" customWidth="1"/>
    <col min="35" max="35" width="1.28515625" style="6" customWidth="1"/>
    <col min="36" max="37" width="10.28515625" style="490" customWidth="1"/>
    <col min="38" max="38" width="10.42578125" style="490" customWidth="1"/>
    <col min="39" max="39" width="8.140625" style="490" customWidth="1"/>
    <col min="40" max="40" width="8" style="490" customWidth="1"/>
    <col min="41" max="41" width="10.85546875" customWidth="1"/>
    <col min="42" max="42" width="10.7109375" customWidth="1"/>
    <col min="43" max="43" width="11.140625" customWidth="1"/>
    <col min="44" max="44" width="9.7109375" customWidth="1"/>
    <col min="45" max="45" width="1.140625" style="6" customWidth="1"/>
    <col min="46" max="46" width="12.5703125" customWidth="1"/>
    <col min="47" max="47" width="12.28515625" customWidth="1"/>
    <col min="48" max="48" width="1.28515625" customWidth="1"/>
    <col min="49" max="49" width="12.7109375" customWidth="1"/>
    <col min="50" max="50" width="1.42578125" customWidth="1"/>
    <col min="51" max="51" width="10.85546875" customWidth="1"/>
    <col min="52" max="59" width="9.85546875" bestFit="1" customWidth="1"/>
    <col min="60" max="60" width="10.85546875" bestFit="1" customWidth="1"/>
    <col min="61" max="61" width="10.85546875" customWidth="1"/>
    <col min="62" max="62" width="9.42578125" customWidth="1"/>
    <col min="63" max="65" width="11.42578125" customWidth="1"/>
    <col min="66" max="66" width="1.5703125" customWidth="1"/>
    <col min="67" max="67" width="11.5703125" bestFit="1" customWidth="1"/>
    <col min="68" max="68" width="10.5703125" bestFit="1" customWidth="1"/>
    <col min="69" max="69" width="11.42578125" customWidth="1"/>
    <col min="70" max="70" width="11.85546875" customWidth="1"/>
    <col min="71" max="76" width="11.5703125" bestFit="1" customWidth="1"/>
    <col min="77" max="77" width="11.5703125" customWidth="1"/>
    <col min="78" max="79" width="11.5703125" bestFit="1" customWidth="1"/>
    <col min="80" max="80" width="11.5703125" customWidth="1"/>
  </cols>
  <sheetData>
    <row r="1" spans="1:80" ht="19.5" thickBot="1">
      <c r="A1" s="3">
        <f>'1. KEY DATA'!C3</f>
        <v>0</v>
      </c>
      <c r="H1"/>
      <c r="L1" s="979"/>
      <c r="O1" s="85"/>
      <c r="P1"/>
      <c r="Q1" s="86" t="s">
        <v>90</v>
      </c>
      <c r="R1" s="87">
        <f>'1. KEY DATA'!C4</f>
        <v>0</v>
      </c>
      <c r="AA1" s="87"/>
      <c r="AI1" s="7"/>
      <c r="AS1" s="7"/>
      <c r="BJ1" s="85"/>
      <c r="BK1" s="86" t="s">
        <v>90</v>
      </c>
      <c r="BL1" s="87">
        <f>'1. KEY DATA'!C4</f>
        <v>0</v>
      </c>
      <c r="BX1" s="85"/>
      <c r="BZ1" s="86" t="s">
        <v>90</v>
      </c>
      <c r="CA1" s="87">
        <f>'1. KEY DATA'!C4</f>
        <v>0</v>
      </c>
    </row>
    <row r="2" spans="1:80" ht="18" customHeight="1">
      <c r="A2" s="3" t="s">
        <v>352</v>
      </c>
      <c r="B2" s="1"/>
      <c r="C2" s="982"/>
      <c r="D2" s="1150">
        <f>'1. KEY DATA'!F6</f>
        <v>364</v>
      </c>
      <c r="E2" s="1150"/>
      <c r="F2" s="617"/>
      <c r="G2" s="617"/>
      <c r="H2" s="6"/>
      <c r="N2" s="1244" t="s">
        <v>152</v>
      </c>
      <c r="O2" s="1245"/>
      <c r="P2" s="1245"/>
      <c r="Q2" s="1245"/>
      <c r="R2" s="1246"/>
      <c r="T2" s="983"/>
      <c r="U2" s="617"/>
      <c r="AA2" s="664"/>
      <c r="AI2" s="7"/>
      <c r="AS2" s="7"/>
      <c r="AT2" s="490"/>
      <c r="AU2" s="789"/>
      <c r="AV2" s="617"/>
      <c r="AW2" s="617"/>
      <c r="BG2" s="87"/>
      <c r="BH2" s="1244" t="s">
        <v>152</v>
      </c>
      <c r="BI2" s="1245"/>
      <c r="BJ2" s="1245"/>
      <c r="BK2" s="1245"/>
      <c r="BL2" s="1246"/>
      <c r="BW2" s="1244" t="s">
        <v>152</v>
      </c>
      <c r="BX2" s="1245"/>
      <c r="BY2" s="1245"/>
      <c r="BZ2" s="1245"/>
      <c r="CA2" s="1246"/>
    </row>
    <row r="3" spans="1:80" ht="12.95" customHeight="1">
      <c r="B3" s="10"/>
      <c r="C3" s="6"/>
      <c r="D3" s="617"/>
      <c r="E3" s="617"/>
      <c r="F3" s="617"/>
      <c r="G3" s="617"/>
      <c r="H3" s="6"/>
      <c r="I3" s="675"/>
      <c r="J3" s="675"/>
      <c r="K3" s="675"/>
      <c r="L3" s="1151"/>
      <c r="M3" s="1151"/>
      <c r="N3" s="667"/>
      <c r="O3" s="114"/>
      <c r="P3" s="106" t="s">
        <v>153</v>
      </c>
      <c r="Q3" s="107"/>
      <c r="R3" s="108"/>
      <c r="U3" s="617"/>
      <c r="AA3" s="59"/>
      <c r="AI3" s="7"/>
      <c r="AS3" s="7"/>
      <c r="AT3" s="490"/>
      <c r="AU3" s="789"/>
      <c r="AV3" s="617"/>
      <c r="AW3" s="617"/>
      <c r="BH3" s="104"/>
      <c r="BI3" s="114"/>
      <c r="BJ3" s="106" t="s">
        <v>153</v>
      </c>
      <c r="BK3" s="107"/>
      <c r="BL3" s="108"/>
      <c r="BW3" s="104"/>
      <c r="BX3" s="114"/>
      <c r="BY3" s="106" t="s">
        <v>153</v>
      </c>
      <c r="BZ3" s="107"/>
      <c r="CA3" s="108"/>
    </row>
    <row r="4" spans="1:80" ht="12.95" customHeight="1">
      <c r="A4" s="3"/>
      <c r="B4" s="10"/>
      <c r="C4" s="6"/>
      <c r="D4" s="617"/>
      <c r="E4" s="617"/>
      <c r="F4" s="617"/>
      <c r="G4" s="617"/>
      <c r="H4" s="6"/>
      <c r="L4" s="1151"/>
      <c r="M4" s="1151"/>
      <c r="N4" s="668"/>
      <c r="O4" s="117"/>
      <c r="P4" s="106" t="s">
        <v>161</v>
      </c>
      <c r="Q4" s="107"/>
      <c r="R4" s="108"/>
      <c r="U4" s="617"/>
      <c r="AA4" s="59"/>
      <c r="AI4" s="7"/>
      <c r="AS4" s="7"/>
      <c r="AT4" s="490"/>
      <c r="AU4" s="789"/>
      <c r="AV4" s="617"/>
      <c r="AW4" s="617"/>
      <c r="BH4" s="105"/>
      <c r="BI4" s="117"/>
      <c r="BJ4" s="106" t="s">
        <v>161</v>
      </c>
      <c r="BK4" s="107"/>
      <c r="BL4" s="108"/>
      <c r="BW4" s="105"/>
      <c r="BX4" s="117"/>
      <c r="BY4" s="106" t="s">
        <v>161</v>
      </c>
      <c r="BZ4" s="107"/>
      <c r="CA4" s="108"/>
    </row>
    <row r="5" spans="1:80" ht="21.75" customHeight="1" thickBot="1">
      <c r="A5" s="3"/>
      <c r="B5" s="138" t="s">
        <v>129</v>
      </c>
      <c r="C5" s="6"/>
      <c r="D5" s="617"/>
      <c r="E5" s="617"/>
      <c r="F5" s="617"/>
      <c r="G5" s="617"/>
      <c r="H5" s="6"/>
      <c r="N5" s="1218"/>
      <c r="O5" s="1219"/>
      <c r="P5" s="109" t="s">
        <v>154</v>
      </c>
      <c r="Q5" s="110"/>
      <c r="R5" s="111"/>
      <c r="T5" s="981"/>
      <c r="U5" s="617"/>
      <c r="AA5" s="59"/>
      <c r="AI5" s="7"/>
      <c r="AL5" s="1178"/>
      <c r="AS5" s="7"/>
      <c r="AT5" s="490"/>
      <c r="AU5" s="789"/>
      <c r="AV5" s="617"/>
      <c r="AW5" s="617"/>
      <c r="BH5" s="1218"/>
      <c r="BI5" s="1219"/>
      <c r="BJ5" s="109" t="s">
        <v>154</v>
      </c>
      <c r="BK5" s="110"/>
      <c r="BL5" s="111"/>
      <c r="BW5" s="1218"/>
      <c r="BX5" s="1219"/>
      <c r="BY5" s="109" t="s">
        <v>154</v>
      </c>
      <c r="BZ5" s="110"/>
      <c r="CA5" s="111"/>
    </row>
    <row r="6" spans="1:80" ht="18" customHeight="1" thickBot="1">
      <c r="A6" s="3"/>
      <c r="B6" s="897" t="s">
        <v>336</v>
      </c>
      <c r="C6" s="6"/>
      <c r="D6" s="617"/>
      <c r="E6" s="617"/>
      <c r="F6" s="617"/>
      <c r="G6" s="617"/>
      <c r="H6" s="617"/>
      <c r="I6" s="6"/>
      <c r="J6" s="6"/>
      <c r="K6" s="6"/>
      <c r="N6" s="617"/>
      <c r="O6" s="617"/>
      <c r="P6" s="617"/>
      <c r="Q6" s="617"/>
      <c r="T6" s="981"/>
      <c r="U6" s="981"/>
      <c r="V6" s="617"/>
      <c r="W6" s="617"/>
      <c r="X6" s="6"/>
      <c r="Y6" s="979"/>
      <c r="Z6" s="6"/>
      <c r="AC6" s="20"/>
      <c r="AD6" s="20"/>
      <c r="AE6" s="20"/>
      <c r="AF6" s="20"/>
      <c r="AG6" s="20"/>
      <c r="AH6" s="20"/>
      <c r="AI6" s="7"/>
      <c r="AJ6" s="685"/>
      <c r="AK6" s="685"/>
      <c r="AL6" s="685"/>
      <c r="AM6" s="685"/>
      <c r="AN6" s="685"/>
      <c r="AO6" s="20"/>
      <c r="AP6" s="20"/>
      <c r="AQ6" s="20"/>
      <c r="AR6" s="20"/>
      <c r="AS6" s="7"/>
      <c r="AT6" s="136"/>
      <c r="AU6" s="136"/>
    </row>
    <row r="7" spans="1:80" ht="15.75" customHeight="1" thickBot="1">
      <c r="A7" s="3"/>
      <c r="B7" s="138"/>
      <c r="C7" s="6"/>
      <c r="D7" s="640"/>
      <c r="H7" s="645"/>
      <c r="I7" s="644"/>
      <c r="J7" s="662"/>
      <c r="K7" s="662"/>
      <c r="N7" s="640"/>
      <c r="O7" s="640"/>
      <c r="P7" s="640"/>
      <c r="Q7" s="641"/>
      <c r="R7" s="641"/>
      <c r="S7" s="642"/>
      <c r="T7" s="643"/>
      <c r="U7" s="643"/>
      <c r="V7" s="643"/>
      <c r="W7" s="643"/>
      <c r="X7" s="644"/>
      <c r="Y7" s="645"/>
      <c r="Z7" s="644"/>
      <c r="AA7" s="644"/>
      <c r="AC7" s="662"/>
      <c r="AD7" s="662"/>
      <c r="AE7" s="662"/>
      <c r="AF7" s="662"/>
      <c r="AG7" s="662"/>
      <c r="AH7" s="662"/>
      <c r="AI7" s="662"/>
      <c r="AJ7" s="1341" t="s">
        <v>322</v>
      </c>
      <c r="AK7" s="1342"/>
      <c r="AL7" s="1342"/>
      <c r="AM7" s="1342"/>
      <c r="AN7" s="1342"/>
      <c r="AO7" s="1342"/>
      <c r="AP7" s="1342"/>
      <c r="AQ7" s="1342"/>
      <c r="AR7" s="1343"/>
      <c r="AS7" s="662"/>
      <c r="AT7" s="136"/>
      <c r="AU7" s="136"/>
    </row>
    <row r="8" spans="1:80" ht="15.75" customHeight="1" thickBot="1">
      <c r="B8" s="1388" t="s">
        <v>33</v>
      </c>
      <c r="C8" s="646"/>
      <c r="D8" s="1405" t="s">
        <v>289</v>
      </c>
      <c r="E8" s="1331" t="s">
        <v>276</v>
      </c>
      <c r="F8" s="1332"/>
      <c r="G8" s="1332"/>
      <c r="H8" s="1332"/>
      <c r="I8" s="1332"/>
      <c r="J8" s="1332"/>
      <c r="K8" s="1333"/>
      <c r="L8" s="1386" t="s">
        <v>235</v>
      </c>
      <c r="M8" s="1386" t="s">
        <v>228</v>
      </c>
      <c r="N8" s="1412" t="s">
        <v>296</v>
      </c>
      <c r="O8" s="1408" t="s">
        <v>306</v>
      </c>
      <c r="P8" s="1329"/>
      <c r="Q8" s="1408" t="s">
        <v>293</v>
      </c>
      <c r="R8" s="1409"/>
      <c r="S8" s="502"/>
      <c r="T8" s="1360" t="s">
        <v>298</v>
      </c>
      <c r="U8" s="1361"/>
      <c r="V8" s="1361"/>
      <c r="W8" s="1379"/>
      <c r="X8" s="1339" t="s">
        <v>292</v>
      </c>
      <c r="Y8" s="1339"/>
      <c r="Z8" s="1339"/>
      <c r="AA8" s="1339"/>
      <c r="AB8" s="663"/>
      <c r="AC8" s="1360" t="s">
        <v>324</v>
      </c>
      <c r="AD8" s="1361"/>
      <c r="AE8" s="1361"/>
      <c r="AF8" s="1361"/>
      <c r="AG8" s="1361"/>
      <c r="AH8" s="1361"/>
      <c r="AI8" s="663"/>
      <c r="AJ8" s="1354" t="s">
        <v>276</v>
      </c>
      <c r="AK8" s="1355"/>
      <c r="AL8" s="1355"/>
      <c r="AM8" s="1355"/>
      <c r="AN8" s="1356"/>
      <c r="AO8" s="1351" t="s">
        <v>323</v>
      </c>
      <c r="AP8" s="1352"/>
      <c r="AQ8" s="1353"/>
      <c r="AR8" s="1348" t="s">
        <v>321</v>
      </c>
      <c r="AS8" s="663"/>
      <c r="AT8" s="1362" t="s">
        <v>169</v>
      </c>
      <c r="AU8" s="1363"/>
      <c r="AV8" s="502"/>
      <c r="AW8" s="1388" t="s">
        <v>245</v>
      </c>
      <c r="AX8" s="502"/>
      <c r="AY8" s="1367" t="s">
        <v>227</v>
      </c>
      <c r="AZ8" s="1368"/>
      <c r="BA8" s="1368"/>
      <c r="BB8" s="1368"/>
      <c r="BC8" s="1368"/>
      <c r="BD8" s="1368"/>
      <c r="BE8" s="1368"/>
      <c r="BF8" s="1368"/>
      <c r="BG8" s="1368"/>
      <c r="BH8" s="1368"/>
      <c r="BI8" s="1368"/>
      <c r="BJ8" s="1368"/>
      <c r="BK8" s="1368"/>
      <c r="BL8" s="1369"/>
      <c r="BM8" s="1370" t="s">
        <v>226</v>
      </c>
      <c r="BO8" s="1364" t="s">
        <v>150</v>
      </c>
      <c r="BP8" s="1365"/>
      <c r="BQ8" s="1365"/>
      <c r="BR8" s="1365"/>
      <c r="BS8" s="1365"/>
      <c r="BT8" s="1365"/>
      <c r="BU8" s="1365"/>
      <c r="BV8" s="1365"/>
      <c r="BW8" s="1365"/>
      <c r="BX8" s="1365"/>
      <c r="BY8" s="1365"/>
      <c r="BZ8" s="1365"/>
      <c r="CA8" s="1365"/>
      <c r="CB8" s="1366"/>
    </row>
    <row r="9" spans="1:80" ht="15.75" customHeight="1">
      <c r="B9" s="1389"/>
      <c r="C9" s="646"/>
      <c r="D9" s="1406"/>
      <c r="E9" s="1426" t="s">
        <v>297</v>
      </c>
      <c r="F9" s="1427"/>
      <c r="G9" s="1340" t="s">
        <v>327</v>
      </c>
      <c r="H9" s="1413" t="s">
        <v>300</v>
      </c>
      <c r="I9" s="1340" t="s">
        <v>301</v>
      </c>
      <c r="J9" s="1317" t="s">
        <v>347</v>
      </c>
      <c r="K9" s="1335" t="s">
        <v>346</v>
      </c>
      <c r="L9" s="1387"/>
      <c r="M9" s="1387"/>
      <c r="N9" s="1413"/>
      <c r="O9" s="1317" t="s">
        <v>337</v>
      </c>
      <c r="P9" s="1377" t="s">
        <v>334</v>
      </c>
      <c r="Q9" s="1317" t="s">
        <v>338</v>
      </c>
      <c r="R9" s="1410" t="s">
        <v>310</v>
      </c>
      <c r="S9" s="502"/>
      <c r="T9" s="1415" t="s">
        <v>299</v>
      </c>
      <c r="U9" s="1428" t="s">
        <v>309</v>
      </c>
      <c r="V9" s="1429"/>
      <c r="W9" s="1416" t="s">
        <v>302</v>
      </c>
      <c r="X9" s="1418" t="s">
        <v>288</v>
      </c>
      <c r="Y9" s="1317" t="s">
        <v>290</v>
      </c>
      <c r="Z9" s="1317" t="s">
        <v>308</v>
      </c>
      <c r="AA9" s="1410" t="s">
        <v>305</v>
      </c>
      <c r="AB9" s="157"/>
      <c r="AC9" s="1373" t="s">
        <v>69</v>
      </c>
      <c r="AD9" s="1337" t="s">
        <v>345</v>
      </c>
      <c r="AE9" s="1337" t="s">
        <v>91</v>
      </c>
      <c r="AF9" s="1337" t="s">
        <v>348</v>
      </c>
      <c r="AG9" s="1337" t="s">
        <v>68</v>
      </c>
      <c r="AH9" s="1375" t="s">
        <v>349</v>
      </c>
      <c r="AI9" s="157"/>
      <c r="AJ9" s="1402" t="s">
        <v>307</v>
      </c>
      <c r="AK9" s="1403"/>
      <c r="AL9" s="1404"/>
      <c r="AM9" s="1357" t="s">
        <v>330</v>
      </c>
      <c r="AN9" s="1319" t="s">
        <v>332</v>
      </c>
      <c r="AO9" s="1344" t="s">
        <v>318</v>
      </c>
      <c r="AP9" s="1344" t="s">
        <v>319</v>
      </c>
      <c r="AQ9" s="1346" t="s">
        <v>320</v>
      </c>
      <c r="AR9" s="1349"/>
      <c r="AS9" s="502"/>
      <c r="AT9" s="1377" t="s">
        <v>311</v>
      </c>
      <c r="AU9" s="1377" t="s">
        <v>312</v>
      </c>
      <c r="AV9" s="502"/>
      <c r="AW9" s="1389"/>
      <c r="AX9" s="502"/>
      <c r="AY9" s="1422">
        <f>'1. KEY DATA'!$C$34</f>
        <v>0</v>
      </c>
      <c r="AZ9" s="1398">
        <f>'1. KEY DATA'!$C$35</f>
        <v>0</v>
      </c>
      <c r="BA9" s="1398">
        <f>'1. KEY DATA'!$C$36</f>
        <v>0</v>
      </c>
      <c r="BB9" s="1398">
        <f>'1. KEY DATA'!$C$37</f>
        <v>0</v>
      </c>
      <c r="BC9" s="1398">
        <f>'1. KEY DATA'!$C$38</f>
        <v>0</v>
      </c>
      <c r="BD9" s="1398">
        <f>'1. KEY DATA'!$C$39</f>
        <v>0</v>
      </c>
      <c r="BE9" s="1398">
        <f>'1. KEY DATA'!$C$40</f>
        <v>0</v>
      </c>
      <c r="BF9" s="1398">
        <f>'1. KEY DATA'!$C$41</f>
        <v>0</v>
      </c>
      <c r="BG9" s="1398">
        <f>'1. KEY DATA'!$C$42</f>
        <v>0</v>
      </c>
      <c r="BH9" s="1398">
        <f>'1. KEY DATA'!$C$43</f>
        <v>0</v>
      </c>
      <c r="BI9" s="1317" t="str">
        <f>'1. KEY DATA'!C44</f>
        <v>Health Professnals</v>
      </c>
      <c r="BJ9" s="1400" t="str">
        <f>'1. KEY DATA'!C46</f>
        <v>Accommodation</v>
      </c>
      <c r="BK9" s="1317" t="str">
        <f>'1. KEY DATA'!C47</f>
        <v>Commercial &amp; Fund Raising</v>
      </c>
      <c r="BL9" s="1420" t="str">
        <f>'1. KEY DATA'!C48</f>
        <v>Admin Overheads</v>
      </c>
      <c r="BM9" s="1371"/>
      <c r="BO9" s="1422">
        <f>'1. KEY DATA'!$C$34</f>
        <v>0</v>
      </c>
      <c r="BP9" s="1398">
        <f>'1. KEY DATA'!$C$35</f>
        <v>0</v>
      </c>
      <c r="BQ9" s="1398">
        <f>'1. KEY DATA'!$C$36</f>
        <v>0</v>
      </c>
      <c r="BR9" s="1398">
        <f>'1. KEY DATA'!$C$37</f>
        <v>0</v>
      </c>
      <c r="BS9" s="1398">
        <f>'1. KEY DATA'!$C$38</f>
        <v>0</v>
      </c>
      <c r="BT9" s="1398">
        <f>'1. KEY DATA'!$C$39</f>
        <v>0</v>
      </c>
      <c r="BU9" s="1398">
        <f>'1. KEY DATA'!$C$40</f>
        <v>0</v>
      </c>
      <c r="BV9" s="1398">
        <f>'1. KEY DATA'!$C$41</f>
        <v>0</v>
      </c>
      <c r="BW9" s="1398">
        <f>'1. KEY DATA'!$C$42</f>
        <v>0</v>
      </c>
      <c r="BX9" s="1398">
        <f>'1. KEY DATA'!$C$43</f>
        <v>0</v>
      </c>
      <c r="BY9" s="1323" t="str">
        <f>BI9</f>
        <v>Health Professnals</v>
      </c>
      <c r="BZ9" s="1323" t="str">
        <f>BJ9</f>
        <v>Accommodation</v>
      </c>
      <c r="CA9" s="1323" t="str">
        <f>BK9</f>
        <v>Commercial &amp; Fund Raising</v>
      </c>
      <c r="CB9" s="1424" t="str">
        <f>BL9</f>
        <v>Admin Overheads</v>
      </c>
    </row>
    <row r="10" spans="1:80" ht="47.25" customHeight="1" thickBot="1">
      <c r="B10" s="1390"/>
      <c r="C10" s="502"/>
      <c r="D10" s="1407"/>
      <c r="E10" s="796" t="s">
        <v>277</v>
      </c>
      <c r="F10" s="660" t="s">
        <v>294</v>
      </c>
      <c r="G10" s="1334"/>
      <c r="H10" s="1378"/>
      <c r="I10" s="1334"/>
      <c r="J10" s="1334"/>
      <c r="K10" s="1336"/>
      <c r="L10" s="1391"/>
      <c r="M10" s="1359"/>
      <c r="N10" s="1378"/>
      <c r="O10" s="1334"/>
      <c r="P10" s="1378"/>
      <c r="Q10" s="1334"/>
      <c r="R10" s="1411"/>
      <c r="S10" s="502"/>
      <c r="T10" s="1407"/>
      <c r="U10" s="792" t="s">
        <v>278</v>
      </c>
      <c r="V10" s="677" t="s">
        <v>291</v>
      </c>
      <c r="W10" s="1417"/>
      <c r="X10" s="1419"/>
      <c r="Y10" s="1334"/>
      <c r="Z10" s="1334"/>
      <c r="AA10" s="1411"/>
      <c r="AB10" s="157"/>
      <c r="AC10" s="1374"/>
      <c r="AD10" s="1338"/>
      <c r="AE10" s="1338"/>
      <c r="AF10" s="1338"/>
      <c r="AG10" s="1338"/>
      <c r="AH10" s="1376"/>
      <c r="AI10" s="157"/>
      <c r="AJ10" s="679" t="s">
        <v>315</v>
      </c>
      <c r="AK10" s="678" t="s">
        <v>316</v>
      </c>
      <c r="AL10" s="678" t="s">
        <v>317</v>
      </c>
      <c r="AM10" s="1358"/>
      <c r="AN10" s="1359"/>
      <c r="AO10" s="1345"/>
      <c r="AP10" s="1345"/>
      <c r="AQ10" s="1347"/>
      <c r="AR10" s="1350"/>
      <c r="AS10" s="502"/>
      <c r="AT10" s="1378"/>
      <c r="AU10" s="1378"/>
      <c r="AV10" s="502"/>
      <c r="AW10" s="1390"/>
      <c r="AX10" s="502"/>
      <c r="AY10" s="1423"/>
      <c r="AZ10" s="1399"/>
      <c r="BA10" s="1399"/>
      <c r="BB10" s="1399"/>
      <c r="BC10" s="1399"/>
      <c r="BD10" s="1399"/>
      <c r="BE10" s="1399"/>
      <c r="BF10" s="1399"/>
      <c r="BG10" s="1399"/>
      <c r="BH10" s="1399"/>
      <c r="BI10" s="1334"/>
      <c r="BJ10" s="1401"/>
      <c r="BK10" s="1334"/>
      <c r="BL10" s="1421"/>
      <c r="BM10" s="1372"/>
      <c r="BN10" s="676" t="s">
        <v>0</v>
      </c>
      <c r="BO10" s="1423"/>
      <c r="BP10" s="1399"/>
      <c r="BQ10" s="1399"/>
      <c r="BR10" s="1399"/>
      <c r="BS10" s="1399"/>
      <c r="BT10" s="1399"/>
      <c r="BU10" s="1399"/>
      <c r="BV10" s="1399"/>
      <c r="BW10" s="1399"/>
      <c r="BX10" s="1399"/>
      <c r="BY10" s="1414"/>
      <c r="BZ10" s="1414"/>
      <c r="CA10" s="1414"/>
      <c r="CB10" s="1425"/>
    </row>
    <row r="11" spans="1:80" ht="6" customHeight="1" thickBot="1">
      <c r="B11" s="17"/>
      <c r="C11" s="17"/>
      <c r="D11" s="17"/>
      <c r="E11" s="17"/>
      <c r="F11" s="17"/>
      <c r="G11" s="17"/>
      <c r="H11" s="17"/>
      <c r="I11" s="17"/>
      <c r="J11" s="17"/>
      <c r="K11" s="17"/>
      <c r="L11" s="17"/>
      <c r="M11" s="17"/>
      <c r="N11" s="17"/>
      <c r="O11" s="17"/>
      <c r="P11" s="17"/>
      <c r="Q11" s="17"/>
      <c r="R11" s="17"/>
      <c r="S11" s="17"/>
      <c r="T11" s="17"/>
      <c r="U11" s="17"/>
      <c r="V11" s="17"/>
      <c r="W11" s="681"/>
      <c r="X11" s="17"/>
      <c r="Y11" s="17"/>
      <c r="Z11" s="17"/>
      <c r="AA11" s="17"/>
      <c r="AB11" s="17"/>
      <c r="AC11" s="17"/>
      <c r="AD11" s="17"/>
      <c r="AE11" s="17"/>
      <c r="AF11" s="17"/>
      <c r="AG11" s="17"/>
      <c r="AH11" s="17"/>
      <c r="AI11" s="17"/>
      <c r="AJ11" s="680"/>
      <c r="AK11" s="680"/>
      <c r="AL11" s="680"/>
      <c r="AM11" s="680"/>
      <c r="AO11" s="495"/>
      <c r="AP11" s="495"/>
      <c r="AQ11" s="495"/>
      <c r="AR11" s="495"/>
      <c r="AS11" s="17"/>
      <c r="AT11" s="17"/>
      <c r="AU11" s="17"/>
      <c r="AV11" s="17"/>
      <c r="AW11" s="17"/>
      <c r="AX11" s="17"/>
      <c r="AY11" s="18"/>
      <c r="AZ11" s="18"/>
      <c r="BA11" s="18"/>
      <c r="BB11" s="18"/>
      <c r="BC11" s="18"/>
      <c r="BD11" s="18"/>
      <c r="BE11" s="18"/>
      <c r="BF11" s="18"/>
      <c r="BG11" s="18"/>
      <c r="BH11" s="18"/>
      <c r="BI11" s="18"/>
      <c r="BJ11" s="18"/>
      <c r="BK11" s="18"/>
      <c r="BL11" s="18"/>
      <c r="BM11" s="298"/>
      <c r="BN11" s="19"/>
      <c r="BO11" s="239"/>
      <c r="BP11" s="239"/>
      <c r="BQ11" s="239"/>
      <c r="BR11" s="239"/>
      <c r="BS11" s="239"/>
      <c r="BT11" s="239"/>
      <c r="BU11" s="239"/>
      <c r="BV11" s="239"/>
      <c r="BW11" s="239"/>
      <c r="BX11" s="239"/>
      <c r="BY11" s="240"/>
      <c r="BZ11" s="227"/>
      <c r="CA11" s="227"/>
      <c r="CB11" s="220"/>
    </row>
    <row r="12" spans="1:80" ht="15.75" thickBot="1">
      <c r="B12" s="21" t="s">
        <v>127</v>
      </c>
      <c r="C12" s="22"/>
      <c r="D12" s="619">
        <f>'1. KEY DATA'!E6</f>
        <v>0</v>
      </c>
      <c r="E12" s="619"/>
      <c r="F12" s="619"/>
      <c r="G12" s="619"/>
      <c r="H12" s="17"/>
      <c r="I12" s="17"/>
      <c r="J12" s="17"/>
      <c r="K12" s="17"/>
      <c r="L12" s="17"/>
      <c r="M12" s="17"/>
      <c r="N12" s="619"/>
      <c r="O12" s="619"/>
      <c r="P12" s="619"/>
      <c r="Q12" s="619"/>
      <c r="R12" s="619"/>
      <c r="S12" s="619"/>
      <c r="T12" s="23"/>
      <c r="U12" s="619"/>
      <c r="V12" s="619"/>
      <c r="W12" s="23"/>
      <c r="X12" s="17"/>
      <c r="Y12" s="17"/>
      <c r="Z12" s="17"/>
      <c r="AA12" s="17"/>
      <c r="AB12" s="17"/>
      <c r="AC12" s="17"/>
      <c r="AD12" s="17"/>
      <c r="AE12" s="17"/>
      <c r="AF12" s="17"/>
      <c r="AG12" s="17"/>
      <c r="AH12" s="17"/>
      <c r="AI12" s="17"/>
      <c r="AJ12" s="17"/>
      <c r="AK12" s="17"/>
      <c r="AL12" s="17"/>
      <c r="AM12" s="17"/>
      <c r="AO12" s="495"/>
      <c r="AP12" s="495"/>
      <c r="AQ12" s="495"/>
      <c r="AR12" s="495"/>
      <c r="AS12" s="17"/>
      <c r="AT12" s="17"/>
      <c r="AU12" s="17"/>
      <c r="AV12" s="17"/>
      <c r="AW12" s="17"/>
      <c r="AX12" s="17"/>
      <c r="AY12" s="18"/>
      <c r="AZ12" s="18"/>
      <c r="BA12" s="18"/>
      <c r="BB12" s="18"/>
      <c r="BC12" s="18"/>
      <c r="BD12" s="18"/>
      <c r="BE12" s="18"/>
      <c r="BF12" s="18"/>
      <c r="BG12" s="18"/>
      <c r="BH12" s="18"/>
      <c r="BI12" s="18"/>
      <c r="BJ12" s="18"/>
      <c r="BK12" s="18"/>
      <c r="BL12" s="18"/>
      <c r="BM12" s="298"/>
      <c r="BN12" s="19"/>
      <c r="BO12" s="240"/>
      <c r="BP12" s="240"/>
      <c r="BQ12" s="240"/>
      <c r="BR12" s="240"/>
      <c r="BS12" s="240"/>
      <c r="BT12" s="240"/>
      <c r="BU12" s="240"/>
      <c r="BV12" s="240"/>
      <c r="BW12" s="240"/>
      <c r="BX12" s="240"/>
      <c r="BY12" s="240"/>
      <c r="BZ12" s="227"/>
      <c r="CA12" s="227"/>
      <c r="CB12" s="220"/>
    </row>
    <row r="13" spans="1:80" ht="7.5" customHeight="1" thickBot="1">
      <c r="B13" s="24"/>
      <c r="C13" s="17"/>
      <c r="D13" s="17"/>
      <c r="E13" s="17"/>
      <c r="F13" s="17"/>
      <c r="G13" s="17"/>
      <c r="H13" s="24"/>
      <c r="I13" s="24"/>
      <c r="J13" s="24"/>
      <c r="K13" s="24"/>
      <c r="L13" s="24"/>
      <c r="M13" s="24"/>
      <c r="N13" s="17"/>
      <c r="O13" s="24"/>
      <c r="P13" s="17"/>
      <c r="Q13" s="24"/>
      <c r="R13" s="24"/>
      <c r="S13" s="17"/>
      <c r="T13" s="17"/>
      <c r="U13" s="24"/>
      <c r="V13" s="24"/>
      <c r="W13" s="24"/>
      <c r="X13" s="24"/>
      <c r="Y13" s="24"/>
      <c r="Z13" s="24"/>
      <c r="AA13" s="24"/>
      <c r="AB13" s="17"/>
      <c r="AC13" s="24"/>
      <c r="AD13" s="24"/>
      <c r="AE13" s="24"/>
      <c r="AF13" s="24"/>
      <c r="AG13" s="24"/>
      <c r="AH13" s="24"/>
      <c r="AI13" s="17"/>
      <c r="AJ13" s="24"/>
      <c r="AK13" s="24"/>
      <c r="AL13" s="24"/>
      <c r="AM13" s="24"/>
      <c r="AN13" s="643"/>
      <c r="AO13" s="496"/>
      <c r="AP13" s="496"/>
      <c r="AQ13" s="496"/>
      <c r="AR13" s="496"/>
      <c r="AS13" s="17"/>
      <c r="AT13" s="24"/>
      <c r="AU13" s="24"/>
      <c r="AV13" s="17"/>
      <c r="AW13" s="24"/>
      <c r="AX13" s="17"/>
      <c r="AY13" s="25"/>
      <c r="AZ13" s="25"/>
      <c r="BA13" s="25"/>
      <c r="BB13" s="25"/>
      <c r="BC13" s="25"/>
      <c r="BD13" s="25"/>
      <c r="BE13" s="25"/>
      <c r="BF13" s="25"/>
      <c r="BG13" s="25"/>
      <c r="BH13" s="25"/>
      <c r="BI13" s="25"/>
      <c r="BJ13" s="25"/>
      <c r="BK13" s="25"/>
      <c r="BL13" s="25"/>
      <c r="BM13" s="298"/>
      <c r="BN13" s="19"/>
      <c r="BO13" s="241"/>
      <c r="BP13" s="241"/>
      <c r="BQ13" s="241"/>
      <c r="BR13" s="241"/>
      <c r="BS13" s="241"/>
      <c r="BT13" s="241"/>
      <c r="BU13" s="241"/>
      <c r="BV13" s="241"/>
      <c r="BW13" s="241"/>
      <c r="BX13" s="241"/>
      <c r="BY13" s="240"/>
      <c r="BZ13" s="227"/>
      <c r="CA13" s="227"/>
      <c r="CB13" s="220"/>
    </row>
    <row r="14" spans="1:80" ht="15.75" thickBot="1">
      <c r="A14">
        <f t="shared" ref="A14:A49" si="0">A13+1</f>
        <v>1</v>
      </c>
      <c r="B14" s="213"/>
      <c r="C14" s="214"/>
      <c r="D14" s="699">
        <f>'1. KEY DATA'!E6</f>
        <v>0</v>
      </c>
      <c r="E14" s="697"/>
      <c r="F14" s="659"/>
      <c r="G14" s="701"/>
      <c r="H14" s="691"/>
      <c r="I14" s="692"/>
      <c r="J14" s="1111"/>
      <c r="K14" s="1112"/>
      <c r="L14" s="1107"/>
      <c r="M14" s="688"/>
      <c r="N14" s="628"/>
      <c r="O14" s="628"/>
      <c r="P14" s="638">
        <v>0.03</v>
      </c>
      <c r="Q14" s="797"/>
      <c r="R14" s="673" t="str">
        <f t="shared" ref="R14" si="1">IF(AND(F14&gt;0.9,F14&lt;3),0.23,IF(AND(F14&gt;2.9,F14&lt;4),0.26,IF(AND(F14&gt;3.9,F14&lt;5),0.32,IF(AND(F14&gt;4.9,F14&lt;6),0.37,IF(AND(F14&gt;5.9,F14&lt;7),0.4,IF(AND(F14&gt;6.9,F14&lt;8),0.42,IF(F14&gt;7.9,0.45,"-")))))))</f>
        <v>-</v>
      </c>
      <c r="S14" s="649"/>
      <c r="T14" s="650">
        <v>0</v>
      </c>
      <c r="U14" s="827"/>
      <c r="V14" s="669"/>
      <c r="W14" s="798">
        <f t="shared" ref="W14" si="2">T14*(1+U14)</f>
        <v>0</v>
      </c>
      <c r="X14" s="656">
        <f>IF(OR(E14=0,F14=0),0,IF(E14='2. AWARDS'!F$7,VLOOKUP(F14,'2. AWARDS'!$C$9:$F$35,4,FALSE),IF(E14='2. AWARDS'!G$7,VLOOKUP(F14,'2. AWARDS'!$C$9:$G$35,5,FALSE),IF(E14='2. AWARDS'!H$7,VLOOKUP(F14,'2. AWARDS'!$C$9:$H$35,6,FALSE),IF(E14='2. AWARDS'!I$7,VLOOKUP(F14,'2. AWARDS'!$C$9:$I$35,7,FALSE),VLOOKUP(F14,'2. AWARDS'!$C$9:$J$35,8,FALSE))))))</f>
        <v>0</v>
      </c>
      <c r="Y14" s="980">
        <f>IF(OR(E14=0,F14=0),0,IF(AND(N14=0,E14='2. AWARDS'!F$7,VLOOKUP(F14,'2. AWARDS'!$C$9:$O$35,9,FALSE)&lt;&gt;0),"date missing",IF(AND(N14=0,E14='2. AWARDS'!G$7,VLOOKUP(F14,'2. AWARDS'!$C$9:$O$35,10,FALSE)&lt;&gt;0),"date missing",IF(AND(N14=0,E14='2. AWARDS'!H$7,VLOOKUP(F14,'2. AWARDS'!$C$9:$O$35,11,FALSE)&lt;&gt;0),"date missing",IF(AND(N14=0,E14='2. AWARDS'!I$7,VLOOKUP(F14,'2. AWARDS'!$C$9:$O$35,12,FALSE)&lt;&gt;0),"date missing",IF(AND(N14=0,E14='2. AWARDS'!J$7,VLOOKUP(F14,'2. AWARDS'!$C$9:$O$35,13,FALSE)&lt;&gt;0),"date missing",IF(N14=0,0,IF(OR(N14=MIN(O14,Q14),AND(N14&lt;O14,N14&lt;Q14,N14&gt;0)),IF(E14='2. AWARDS'!F$7,VLOOKUP(F14,'2. AWARDS'!$C$9:$O$35,9,FALSE),IF(E14='2. AWARDS'!G$7,VLOOKUP(F14,'2. AWARDS'!$C$9:$O$35,10,FALSE),IF(E14='2. AWARDS'!H$7,VLOOKUP(F14,'2. AWARDS'!$C$9:$O$35,11,FALSE),IF(E14='2. AWARDS'!I$7,VLOOKUP(F14,'2. AWARDS'!$C$9:$O$35,12,FALSE),IF(E14='2. AWARDS'!J$7,VLOOKUP(F14,'2. AWARDS'!$C$9:$O$35,13,FALSE)))))),IF(AND(N14&gt;O14,N14&lt;Q14),IF(E14='2. AWARDS'!F$7,(1+P14)*VLOOKUP(F14,'2. AWARDS'!$C$9:$O$35,9,FALSE),IF(E14='2. AWARDS'!G$7,(1+P14)*VLOOKUP(F14,'2. AWARDS'!$C$9:$O$35,10,FALSE),IF(E14='2. AWARDS'!H$7,(1+P14)*VLOOKUP(F14,'2. AWARDS'!$C$9:$O$35,11,FALSE),IF(E14='2. AWARDS'!I$7,(1+P14)*VLOOKUP(F14,'2. AWARDS'!$C$9:$O$35,12,FALSE),IF(E14='2. AWARDS'!J$7,(1+P14)*VLOOKUP(F14,'2. AWARDS'!$C$9:$O$35,13,FALSE)))))),IF(AND(N14&lt;O14,N14&gt;Q14),IF(E14='2. AWARDS'!F$7,(1+(R14/9))*VLOOKUP(F14,'2. AWARDS'!$C$9:$O$35,9,FALSE),IF(E14='2. AWARDS'!G$7,(1+(R14/9))*VLOOKUP(F14,'2. AWARDS'!$C$9:$O$35,10,FALSE),IF(E14='2. AWARDS'!H$7,(1+(R14/9))*VLOOKUP(F14,'2. AWARDS'!$C$9:$O$35,11,FALSE),IF(E14='2. AWARDS'!I$7,(1+(R14/9))*VLOOKUP(F14,'2. AWARDS'!$C$9:$O$35,12,FALSE),IF(E14='2. AWARDS'!J$7,(1+(R14/9))*VLOOKUP(F14,'2. AWARDS'!$C$9:$O$35,13,FALSE)))))),IF(OR(N14=MAX(O14,Q14),AND(N14&gt;O14,N14&gt;Q14)),IF(E14='2. AWARDS'!F$7,((1+(R14/9))*(1+P14))*VLOOKUP(F14,'2. AWARDS'!$C$9:$O$35,9,FALSE),IF(E14='2. AWARDS'!G$7,((1+(R14/9))*(1+P14))*VLOOKUP(F14,'2. AWARDS'!$C$9:$O$35,10,FALSE),IF(E14='2. AWARDS'!H$7,((1+(R14/9))*(1+P14))*VLOOKUP(F14,'2. AWARDS'!$C$9:$O$35,11,FALSE),IF(E14='2. AWARDS'!I$7,((1+(R14/9))*(1+P14))*VLOOKUP(F14,'2. AWARDS'!$C$9:$O$35,12,FALSE),IF(E14='2. AWARDS'!J$7,((1+(R14/9))*(1+P14))*VLOOKUP(F14,'2. AWARDS'!$C$9:$O$35,13,FALSE)))))),"?")))))))))))</f>
        <v>0</v>
      </c>
      <c r="Z14" s="1093" t="e">
        <f>IF(AND(E14='2. AWARDS'!F4,O14&gt;N14,O14&gt;Q14,VLOOKUP(F14,'2. AWARDS'!$C$9:$O$35,9,FALSE)&lt;&gt;0),VLOOKUP(F14,'2. AWARDS'!$C$9:$O$35,9,FALSE)*(1+P14)*(1+(R14/9)),IF(AND(E14='2. AWARDS'!F4,O14&gt;N14,O14&gt;Q14,VLOOKUP(F14,'2. AWARDS'!$C$9:$O$35,9,FALSE)=0),X14*(1+P14)*(1+(R14/9)),IF(AND(E14='2. AWARDS'!G4,O14&gt;N14,O14&gt;Q14,VLOOKUP(F14,'2. AWARDS'!$C$9:$O$35,10,FALSE)&lt;&gt;0),VLOOKUP(F14,'2. AWARDS'!$C$9:$O$35,10,FALSE)*(1+P14)*(1+(R14/9)),IF(AND(E14='2. AWARDS'!G4,O14&gt;N14,O14&gt;Q14,VLOOKUP(F14,'2. AWARDS'!$C$9:$O$35,10,FALSE)=0),X14*(1+P14)*(1+(R14/9)),IF(AND(E14='2. AWARDS'!H4,O14&gt;N14,O14&gt;Q14,VLOOKUP(F14,'2. AWARDS'!$C$9:$O$35,11,FALSE)&lt;&gt;0),VLOOKUP(F14,'2. AWARDS'!$C$9:$O$35,11,FALSE)*(1+P14)*(1+(R14/9)),IF(AND(E14='2. AWARDS'!H4,O14&gt;N14,O14&gt;Q14,VLOOKUP(F14,'2. AWARDS'!$C$9:$O$35,11,FALSE)=0),X14*(1+P14)*(1+(R14/9)),IF(AND(E14='2. AWARDS'!I4,O14&gt;N14,O14&gt;Q14,VLOOKUP(F14,'2. AWARDS'!$C$9:$O$35,12,FALSE)&lt;&gt;0),VLOOKUP(F14,'2. AWARDS'!$C$9:$O$35,12,FALSE)*(1+P14)*(1+(R14/9)),IF(AND(E14='2. AWARDS'!I4,O14&gt;N14,O14&gt;Q14,VLOOKUP(F14,'2. AWARDS'!$C$9:$O$35,12,FALSE)=0),X14*(1+P14)*(1+(R14/9)),IF(AND(E14='2. AWARDS'!J4,O14&gt;N14,O14&gt;Q14,VLOOKUP(F14,'2. AWARDS'!$C$9:$O$35,13,FALSE)&lt;&gt;0),VLOOKUP(F14,'2. AWARDS'!$C$9:$O$35,13,FALSE)*(1+P14)*(1+(R14/9)),IF(AND(E14='2. AWARDS'!J4,O14&gt;N14,O14&gt;Q14,VLOOKUP(F14,'2. AWARDS'!$C$9:$O$35,13,FALSE)=0),X14*(1+P14)*(1+(R14/9)),IF(AND(O14&lt;N14,O14&gt;Q14),X14*(1+P14)*(1+(R14/9)),IF(AND(E14='2. AWARDS'!F4,O14=MAX(N14,Q14),VLOOKUP(F14,'2. AWARDS'!$C$9:$O$35,9,FALSE)&lt;&gt;0),VLOOKUP(F14,'2. AWARDS'!$C$9:$O$35,9,FALSE)*(1+P14)*(1+(R14/9)),IF(AND(E14='2. AWARDS'!F4,O14=MAX(N14,Q14),VLOOKUP(F14,'2. AWARDS'!$C$9:$O$35,9,FALSE)=0),X14*(1+P14)*(1+(R14/9)),IF(AND(E14='2. AWARDS'!G4,O14=MAX(N14,Q14),VLOOKUP(F14,'2. AWARDS'!$C$9:$O$35,10,FALSE)&lt;&gt;0),VLOOKUP(F14,'2. AWARDS'!$C$9:$O$35,10,FALSE)*(1+P14)*(1+(R14/9)),IF(AND(E14='2. AWARDS'!G4,O14=MAX(N14,Q14),VLOOKUP(F14,'2. AWARDS'!$C$9:$O$35,10,FALSE)=0),X14*(1+P14)*(1+(R14/9)),IF(AND(E14='2. AWARDS'!H4,O14=MAX(N14,Q14),VLOOKUP(F14,'2. AWARDS'!$C$9:$O$35,11,FALSE)&lt;&gt;0),VLOOKUP(F14,'2. AWARDS'!$C$9:$O$35,11,FALSE)*(1+P14)*(1+(R14/9)),IF(AND(E14='2. AWARDS'!H4,O14=MAX(N14,Q14),VLOOKUP(F14,'2. AWARDS'!$C$9:$O$35,11,FALSE)=0),X14*(1+P14)*(1+(R14/9)),IF(AND(E14='2. AWARDS'!I4,O14=MAX(N14,Q14),VLOOKUP(F14,'2. AWARDS'!$C$9:$O$35,12,FALSE)&lt;&gt;0),VLOOKUP(F14,'2. AWARDS'!$C$9:$O$35,12,FALSE)*(1+P14)*(1+(R14/9)),IF(AND(E14='2. AWARDS'!I4,O14=MAX(N14,Q14),VLOOKUP(F14,'2. AWARDS'!$C$9:$O$35,12,FALSE)=0),X14*(1+P14)*(1+(R14/9)),IF(AND(E14='2. AWARDS'!J4,O14=MAX(N14,Q14),VLOOKUP(F14,'2. AWARDS'!$C$9:$O$35,13,FALSE)&lt;&gt;0),VLOOKUP(F14,'2. AWARDS'!$C$9:$O$35,13,FALSE)*(1+P14)*(1+(R14/9)),IF(AND(E14='2. AWARDS'!J4,O14=MAX(N14,Q14),VLOOKUP(F14,'2. AWARDS'!$C$9:$O$35,13,FALSE)=0),X14*(1+P14)*(1+(R14/9)),IF(AND(O14&lt;N14,O14&lt;Q14),X14*(1+P14),IF(AND(O14=N14,N14&lt;Q14,E14='2. AWARDS'!F4),VLOOKUP(F14,'2. AWARDS'!$C$9:$O$35,9,FALSE)*(1+P14),IF(AND(O14=N14,N14&lt;Q14,E14='2. AWARDS'!G4),VLOOKUP(F14,'2. AWARDS'!$C$9:$O$35,10,FALSE)*(1+P14),IF(AND(O14=N14,N14&lt;Q14,E14='2. AWARDS'!H4),VLOOKUP(F14,'2. AWARDS'!$C$9:$O$35,11,FALSE)*(1+P14),IF(AND(O14=N14,N14&lt;Q14,E14='2. AWARDS'!I4),VLOOKUP(F14,'2. AWARDS'!$C$9:$O$35,12,FALSE)*(1+P14),IF(AND(O14=N14,N14&lt;Q14,E14='2. AWARDS'!J4),VLOOKUP(F14,'2. AWARDS'!$C$9:$O$35,13,FALSE)*(1+P14),IF(AND(O14=Q14,N14&gt;Q14),X14*(1+P14)*(1+(R14/9)),IF(AND(E14='2. AWARDS'!F4,O14&gt;N14,O14&lt;Q14,VLOOKUP(F14,'2. AWARDS'!$C$9:$O$35,9,FALSE)&lt;&gt;0),VLOOKUP(F14,'2. AWARDS'!$C$9:$O$35,9,FALSE)*(1+P14),IF(AND(E14='2. AWARDS'!G4,O14&gt;N14,O14&lt;Q14,VLOOKUP(F14,'2. AWARDS'!$C$9:$O$35,10,FALSE)&lt;&gt;0),VLOOKUP(F14,'2. AWARDS'!$C$9:$O$35,10,FALSE)*(1+P14),IF(AND(E14='2. AWARDS'!H4,O14&gt;N14,O14&lt;Q14,VLOOKUP(F14,'2. AWARDS'!$C$9:$O$35,11,FALSE)&lt;&gt;0),VLOOKUP(F14,'2. AWARDS'!$C$9:$O$35,11,FALSE)*(1+P14),IF(AND(E14='2. AWARDS'!I4,O14&gt;N14,O14&lt;Q14,VLOOKUP(F14,'2. AWARDS'!$C$9:$O$35,12,FALSE)&lt;&gt;0),VLOOKUP(F14,'2. AWARDS'!$C$9:$O$35,12,FALSE)*(1+P14),IF(AND(E14='2. AWARDS'!J4,O14&gt;N14,O14&lt;Q14,VLOOKUP(F14,'2. AWARDS'!$C$9:$O$35,13,FALSE)&lt;&gt;0),VLOOKUP(F14,'2. AWARDS'!$C$9:$O$35,13,FALSE)*(1+P14),X14*(1+P14))))))))))))))))))))))))))))))))))</f>
        <v>#N/A</v>
      </c>
      <c r="AA14" s="661" t="e">
        <f t="shared" ref="AA14" si="3">IF(OR(Q14=MAX(N14,O14),AND(Q14&gt;O14,Q14&gt;N14)),(MAX(Y14,Z14)*(R14/9))+MAX(Y14:Z14),IF(OR(Q14=MIN(N14,O14),AND(Q14&lt;N14,Q14&lt;O14)),X14*(1+(R14/9)),IF(AND(Q14&lt;O14,Q14&gt;N14,Y14&gt;0),Y14*(1+(R14/9)),IF(AND(Q14&lt;O14,Q14&gt;N14,Y14=0),X14*(1+(R14/9)),X14*(1+P14)*(1+(R14/9))))))</f>
        <v>#N/A</v>
      </c>
      <c r="AB14" s="683"/>
      <c r="AC14" s="774"/>
      <c r="AD14" s="774"/>
      <c r="AE14" s="777"/>
      <c r="AF14" s="781">
        <f t="shared" ref="AF14" si="4">IF(J14="YES",L14*M14*K14*MAX(W14:AA14),0)</f>
        <v>0</v>
      </c>
      <c r="AG14" s="781" t="e">
        <f>HLOOKUP(E14,'2. AWARDS'!$F$7:$J$40,32,FALSE)/5*HLOOKUP(E14,'2. AWARDS'!$F$7:$J$40,31,FALSE)*MAX(W14:AA14)*M14*HLOOKUP(E14,'2. AWARDS'!$F$7:$J$40,34,FALSE)*(L14/(38*2))</f>
        <v>#N/A</v>
      </c>
      <c r="AH14" s="783" t="e">
        <f>((HLOOKUP(E14,'2. AWARDS'!$F$7:$J$42,36,FALSE)/HLOOKUP(E14,'2. AWARDS'!$F$7:$J$42,35,FALSE)*HLOOKUP(E14,'2. AWARDS'!$F$7:$J$45,39,FALSE))/(HLOOKUP(E14,'2. AWARDS'!$F$7:$J$45,31,FALSE)*2)*L14*M14*HLOOKUP(E14,'2. AWARDS'!$F$7:$J$45,31,FALSE)*MAX(W14:AA14))</f>
        <v>#N/A</v>
      </c>
      <c r="AI14" s="474"/>
      <c r="AJ14" s="804"/>
      <c r="AK14" s="804"/>
      <c r="AL14" s="801"/>
      <c r="AM14" s="802"/>
      <c r="AN14" s="1011"/>
      <c r="AO14" s="836">
        <f>IF(AJ14="YES",HLOOKUP(E14,'2. AWARDS'!$F$7:$J$38,32,FALSE)/5*HLOOKUP(E14,'2. AWARDS'!$F$7:$J$37,31,FALSE)*L14/(HLOOKUP(E14,'2. AWARDS'!$F$7:$J$37,31,FALSE)*2)*M14*MAX(W14:AA14)*(1+HLOOKUP(E14,'2. AWARDS'!$F$7:$J$43,37,FALSE))*(1-AM14),0)</f>
        <v>0</v>
      </c>
      <c r="AP14" s="836">
        <f>IF(AK14="YES",HLOOKUP(E14,'2. AWARDS'!$F$7:$J$39,33,FALSE)/5*HLOOKUP(E14,'2. AWARDS'!$F$7:$J$37,31,FALSE)*L14/(HLOOKUP(E14,'2. AWARDS'!$F$7:$J$37,31,FALSE)*2)*M14*MAX(W14:AA14)*(1+HLOOKUP(E14,'2. AWARDS'!$F$7:$J$43,37,FALSE))*(1-AM14),0)</f>
        <v>0</v>
      </c>
      <c r="AQ14" s="838">
        <f>IF(AL14="YES",HLOOKUP(E14,'2. AWARDS'!$F$7:$J$47,40,FALSE)/5*HLOOKUP(E14,'2. AWARDS'!$F$7:$J$37,31,FALSE)*L14/(HLOOKUP(E14,'2. AWARDS'!$F$7:$J$37,31,FALSE)*2)*M14*MAX(W14:AA14)*(1+HLOOKUP(E14,'2. AWARDS'!$F$7:$J$43,37,FALSE))*(1-AM14),0)</f>
        <v>0</v>
      </c>
      <c r="AR14" s="839">
        <f>(IF(AJ14="YES",HLOOKUP(E14,'2. AWARDS'!$F$7:$J$39,32,FALSE),0)+IF(AK14="YES",HLOOKUP(E14,'2. AWARDS'!$F$7:$J$39,33,FALSE),0)+IF(AL14="YES",HLOOKUP(E14,'2. AWARDS'!$F$7:$J$47,40,FALSE),0))*L14/76*7.6*AM14*AN14*M14</f>
        <v>0</v>
      </c>
      <c r="AS14" s="683"/>
      <c r="AT14" s="802">
        <f>'1. KEY DATA'!J$29</f>
        <v>0</v>
      </c>
      <c r="AU14" s="822">
        <f>'1. KEY DATA'!J$30</f>
        <v>0.09</v>
      </c>
      <c r="AV14" s="502"/>
      <c r="AW14" s="899">
        <f t="shared" ref="AW14" si="5">IF(OR(E14=0,F14=0),0,IF(OR(O14=0,Q14=0),"date missing",IF(W14&gt;MAX(X14:AA14),((((T14*(V14-D14+1))+( W14*(D14+365-V14-1)))/365*(1+H14+I14)*L14*M14*26.071428)+SUM(AC14:AH14)+SUM(AO14:AQ14))*(1+AT14+AU14)+AR14,IF(OR(N14=0,Y14=0),((((((X14*(O14+Q14-MAX(O14,Q14)-D14+1))+(MIN(Z14,AA14)*(MAX(O14,Q14)-MIN(O14,Q14)))+(MAX(Z14,AA14)*(D14+365-1-MAX(O14,Q14)))))/365)*(1+H14+I14)*L14*M14*26.071428)+SUM(AC14:AH14)+SUM(AO14:AQ14))*(1+AT14+AU14)+AR14,IF(Y14&lt;AND(Z14,AA14),(((((X14*(N14-D14+1))+(Y14*(MIN(O14,Q14)-N14))+(MIN(Z14,AA14)*(MAX(O14,Q14)-MIN(O14,Q14)))+(MAX(Z14,AA14)*(D14+365-MAX(O14,Q14)-1)))/365)*(1+H14+I14)*L14*M14*26.071428)+SUM(AC14:AH14)+SUM(AO14:AQ14))*(1+AT14+AU14)+AR14,IF(Z14&lt;AND(Y14,AA14),((((X14*(O14-D14+1)+(Z14*(MIN(N14,Q14)-O14))+(MIN(Y14,AA14)*(MAX(N14,Q14)-MIN(N14,Q14)))+(MAX(Y14,AA14)*(D14+365-MAX(N14,Q14)-1)))/365)*(1+H14+I14)*L14*M14*26.071428)+SUM(AC14:AH14)+SUM(AO14:AQ14))*(1+AT14+AU14)+AR14,(((((X14*(Q14-D14+1)+(AA14*(MIN(N14,O14)-Q14))+(MIN(Y14,Z14)*(MAX(N14,O14)-MIN(N14,O14)))+(MAX(Y14,Z14)*(D14+365-MAX(N14,O14)-1)))/365)*(1+H14+I14)*L14*M14*26.071428)+SUM(AC14:AH14)+SUM(AO14:AQ14))*(1+AT14+AU14)+AR14)))))))</f>
        <v>0</v>
      </c>
      <c r="AX14" s="502"/>
      <c r="AY14" s="230"/>
      <c r="AZ14" s="233"/>
      <c r="BA14" s="233"/>
      <c r="BB14" s="233"/>
      <c r="BC14" s="233"/>
      <c r="BD14" s="233"/>
      <c r="BE14" s="233"/>
      <c r="BF14" s="233"/>
      <c r="BG14" s="233"/>
      <c r="BH14" s="233"/>
      <c r="BI14" s="1202"/>
      <c r="BJ14" s="1203"/>
      <c r="BK14" s="1203"/>
      <c r="BL14" s="1204"/>
      <c r="BM14" s="301">
        <f t="shared" ref="BM14" si="6">1-SUM(AY14:BL14)</f>
        <v>1</v>
      </c>
      <c r="BO14" s="244">
        <f t="shared" ref="BO14" si="7">IF(OR($E14=0,$F14=0),0,IF($AW14&gt;0,IF($BM14=0,$AW14*AY14,"alloc error"),"-"))</f>
        <v>0</v>
      </c>
      <c r="BP14" s="245">
        <f t="shared" ref="BP14" si="8">IF(OR($E14=0,$F14=0),0,IF($AW14&gt;0,IF($BM14=0,$AW14*AZ14,"alloc error"),"-"))</f>
        <v>0</v>
      </c>
      <c r="BQ14" s="245">
        <f t="shared" ref="BQ14" si="9">IF(OR($E14=0,$F14=0),0,IF($AW14&gt;0,IF($BM14=0,$AW14*BA14,"alloc error"),"-"))</f>
        <v>0</v>
      </c>
      <c r="BR14" s="245">
        <f t="shared" ref="BR14" si="10">IF(OR($E14=0,$F14=0),0,IF($AW14&gt;0,IF($BM14=0,$AW14*BB14,"alloc error"),"-"))</f>
        <v>0</v>
      </c>
      <c r="BS14" s="245">
        <f t="shared" ref="BS14" si="11">IF(OR($E14=0,$F14=0),0,IF($AW14&gt;0,IF($BM14=0,$AW14*BC14,"alloc error"),"-"))</f>
        <v>0</v>
      </c>
      <c r="BT14" s="245">
        <f t="shared" ref="BT14" si="12">IF(OR($E14=0,$F14=0),0,IF($AW14&gt;0,IF($BM14=0,$AW14*BD14,"alloc error"),"-"))</f>
        <v>0</v>
      </c>
      <c r="BU14" s="245">
        <f t="shared" ref="BU14" si="13">IF(OR($E14=0,$F14=0),0,IF($AW14&gt;0,IF($BM14=0,$AW14*BE14,"alloc error"),"-"))</f>
        <v>0</v>
      </c>
      <c r="BV14" s="245">
        <f t="shared" ref="BV14" si="14">IF(OR($E14=0,$F14=0),0,IF($AW14&gt;0,IF($BM14=0,$AW14*BF14,"alloc error"),"-"))</f>
        <v>0</v>
      </c>
      <c r="BW14" s="245">
        <f t="shared" ref="BW14" si="15">IF(OR($E14=0,$F14=0),0,IF($AW14&gt;0,IF($BM14=0,$AW14*BG14,"alloc error"),"-"))</f>
        <v>0</v>
      </c>
      <c r="BX14" s="246">
        <f t="shared" ref="BX14" si="16">IF(OR($E14=0,$F14=0),0,IF($AW14&gt;0,IF($BM14=0,$AW14*BH14,"alloc error"),"-"))</f>
        <v>0</v>
      </c>
      <c r="BY14" s="240"/>
      <c r="BZ14" s="227"/>
      <c r="CA14" s="227"/>
      <c r="CB14" s="220"/>
    </row>
    <row r="15" spans="1:80" ht="15.75" thickBot="1">
      <c r="A15">
        <f>A14+1</f>
        <v>2</v>
      </c>
      <c r="B15" s="217"/>
      <c r="C15" s="214"/>
      <c r="D15" s="699">
        <f>D14</f>
        <v>0</v>
      </c>
      <c r="E15" s="697"/>
      <c r="F15" s="900"/>
      <c r="G15" s="701"/>
      <c r="H15" s="693"/>
      <c r="I15" s="694"/>
      <c r="J15" s="1111"/>
      <c r="K15" s="1114"/>
      <c r="L15" s="1108"/>
      <c r="M15" s="689"/>
      <c r="N15" s="628"/>
      <c r="O15" s="628"/>
      <c r="P15" s="638">
        <f>P14</f>
        <v>0.03</v>
      </c>
      <c r="Q15" s="797"/>
      <c r="R15" s="673" t="str">
        <f t="shared" ref="R15:R52" si="17">IF(AND(F15&gt;0.9,F15&lt;3),0.23,IF(AND(F15&gt;2.9,F15&lt;4),0.26,IF(AND(F15&gt;3.9,F15&lt;5),0.32,IF(AND(F15&gt;4.9,F15&lt;6),0.37,IF(AND(F15&gt;5.9,F15&lt;7),0.4,IF(AND(F15&gt;6.9,F15&lt;8),0.42,IF(F15&gt;7.9,0.45,"-")))))))</f>
        <v>-</v>
      </c>
      <c r="S15" s="649"/>
      <c r="T15" s="647">
        <v>0</v>
      </c>
      <c r="U15" s="827"/>
      <c r="V15" s="669"/>
      <c r="W15" s="798">
        <f t="shared" ref="W15:W49" si="18">T15*(1+U15)</f>
        <v>0</v>
      </c>
      <c r="X15" s="656">
        <f>IF(OR(E15=0,F15=0),0,IF(E15='2. AWARDS'!F$7,VLOOKUP(F15,'2. AWARDS'!$C$9:$F$35,4,FALSE),IF(E15='2. AWARDS'!G$7,VLOOKUP(F15,'2. AWARDS'!$C$9:$G$35,5,FALSE),IF(E15='2. AWARDS'!H$7,VLOOKUP(F15,'2. AWARDS'!$C$9:$H$35,6,FALSE),IF(E15='2. AWARDS'!I$7,VLOOKUP(F15,'2. AWARDS'!$C$9:$I$35,7,FALSE),VLOOKUP(F15,'2. AWARDS'!$C$9:$J$35,8,FALSE))))))</f>
        <v>0</v>
      </c>
      <c r="Y15" s="980">
        <f>IF(OR(E15=0,F15=0),0,IF(AND(N15=0,E15='2. AWARDS'!F$7,VLOOKUP(F15,'2. AWARDS'!$C$9:$O$35,9,FALSE)&lt;&gt;0),"date missing",IF(AND(N15=0,E15='2. AWARDS'!G$7,VLOOKUP(F15,'2. AWARDS'!$C$9:$O$35,10,FALSE)&lt;&gt;0),"date missing",IF(AND(N15=0,E15='2. AWARDS'!H$7,VLOOKUP(F15,'2. AWARDS'!$C$9:$O$35,11,FALSE)&lt;&gt;0),"date missing",IF(AND(N15=0,E15='2. AWARDS'!I$7,VLOOKUP(F15,'2. AWARDS'!$C$9:$O$35,12,FALSE)&lt;&gt;0),"date missing",IF(AND(N15=0,E15='2. AWARDS'!J$7,VLOOKUP(F15,'2. AWARDS'!$C$9:$O$35,13,FALSE)&lt;&gt;0),"date missing",IF(N15=0,0,IF(OR(N15=MIN(O15,Q15),AND(N15&lt;O15,N15&lt;Q15,N15&gt;0)),IF(E15='2. AWARDS'!F$7,VLOOKUP(F15,'2. AWARDS'!$C$9:$O$35,9,FALSE),IF(E15='2. AWARDS'!G$7,VLOOKUP(F15,'2. AWARDS'!$C$9:$O$35,10,FALSE),IF(E15='2. AWARDS'!H$7,VLOOKUP(F15,'2. AWARDS'!$C$9:$O$35,11,FALSE),IF(E15='2. AWARDS'!I$7,VLOOKUP(F15,'2. AWARDS'!$C$9:$O$35,12,FALSE),IF(E15='2. AWARDS'!J$7,VLOOKUP(F15,'2. AWARDS'!$C$9:$O$35,13,FALSE)))))),IF(AND(N15&gt;O15,N15&lt;Q15),IF(E15='2. AWARDS'!F$7,(1+P15)*VLOOKUP(F15,'2. AWARDS'!$C$9:$O$35,9,FALSE),IF(E15='2. AWARDS'!G$7,(1+P15)*VLOOKUP(F15,'2. AWARDS'!$C$9:$O$35,10,FALSE),IF(E15='2. AWARDS'!H$7,(1+P15)*VLOOKUP(F15,'2. AWARDS'!$C$9:$O$35,11,FALSE),IF(E15='2. AWARDS'!I$7,(1+P15)*VLOOKUP(F15,'2. AWARDS'!$C$9:$O$35,12,FALSE),IF(E15='2. AWARDS'!J$7,(1+P15)*VLOOKUP(F15,'2. AWARDS'!$C$9:$O$35,13,FALSE)))))),IF(AND(N15&lt;O15,N15&gt;Q15),IF(E15='2. AWARDS'!F$7,(1+(R15/9))*VLOOKUP(F15,'2. AWARDS'!$C$9:$O$35,9,FALSE),IF(E15='2. AWARDS'!G$7,(1+(R15/9))*VLOOKUP(F15,'2. AWARDS'!$C$9:$O$35,10,FALSE),IF(E15='2. AWARDS'!H$7,(1+(R15/9))*VLOOKUP(F15,'2. AWARDS'!$C$9:$O$35,11,FALSE),IF(E15='2. AWARDS'!I$7,(1+(R15/9))*VLOOKUP(F15,'2. AWARDS'!$C$9:$O$35,12,FALSE),IF(E15='2. AWARDS'!J$7,(1+(R15/9))*VLOOKUP(F15,'2. AWARDS'!$C$9:$O$35,13,FALSE)))))),IF(OR(N15=MAX(O15,Q15),AND(N15&gt;O15,N15&gt;Q15)),IF(E15='2. AWARDS'!F$7,((1+(R15/9))*(1+P15))*VLOOKUP(F15,'2. AWARDS'!$C$9:$O$35,9,FALSE),IF(E15='2. AWARDS'!G$7,((1+(R15/9))*(1+P15))*VLOOKUP(F15,'2. AWARDS'!$C$9:$O$35,10,FALSE),IF(E15='2. AWARDS'!H$7,((1+(R15/9))*(1+P15))*VLOOKUP(F15,'2. AWARDS'!$C$9:$O$35,11,FALSE),IF(E15='2. AWARDS'!I$7,((1+(R15/9))*(1+P15))*VLOOKUP(F15,'2. AWARDS'!$C$9:$O$35,12,FALSE),IF(E15='2. AWARDS'!J$7,((1+(R15/9))*(1+P15))*VLOOKUP(F15,'2. AWARDS'!$C$9:$O$35,13,FALSE)))))),"?")))))))))))</f>
        <v>0</v>
      </c>
      <c r="Z15" s="1093" t="e">
        <f>IF(AND(E15='2. AWARDS'!F8,O15&gt;N15,O15&gt;Q15,VLOOKUP(F15,'2. AWARDS'!$C$9:$O$35,9,FALSE)&lt;&gt;0),VLOOKUP(F15,'2. AWARDS'!$C$9:$O$35,9,FALSE)*(1+P15)*(1+(R15/9)),IF(AND(E15='2. AWARDS'!F8,O15&gt;N15,O15&gt;Q15,VLOOKUP(F15,'2. AWARDS'!$C$9:$O$35,9,FALSE)=0),X15*(1+P15)*(1+(R15/9)),IF(AND(E15='2. AWARDS'!G8,O15&gt;N15,O15&gt;Q15,VLOOKUP(F15,'2. AWARDS'!$C$9:$O$35,10,FALSE)&lt;&gt;0),VLOOKUP(F15,'2. AWARDS'!$C$9:$O$35,10,FALSE)*(1+P15)*(1+(R15/9)),IF(AND(E15='2. AWARDS'!G8,O15&gt;N15,O15&gt;Q15,VLOOKUP(F15,'2. AWARDS'!$C$9:$O$35,10,FALSE)=0),X15*(1+P15)*(1+(R15/9)),IF(AND(E15='2. AWARDS'!H8,O15&gt;N15,O15&gt;Q15,VLOOKUP(F15,'2. AWARDS'!$C$9:$O$35,11,FALSE)&lt;&gt;0),VLOOKUP(F15,'2. AWARDS'!$C$9:$O$35,11,FALSE)*(1+P15)*(1+(R15/9)),IF(AND(E15='2. AWARDS'!H8,O15&gt;N15,O15&gt;Q15,VLOOKUP(F15,'2. AWARDS'!$C$9:$O$35,11,FALSE)=0),X15*(1+P15)*(1+(R15/9)),IF(AND(E15='2. AWARDS'!I8,O15&gt;N15,O15&gt;Q15,VLOOKUP(F15,'2. AWARDS'!$C$9:$O$35,12,FALSE)&lt;&gt;0),VLOOKUP(F15,'2. AWARDS'!$C$9:$O$35,12,FALSE)*(1+P15)*(1+(R15/9)),IF(AND(E15='2. AWARDS'!I8,O15&gt;N15,O15&gt;Q15,VLOOKUP(F15,'2. AWARDS'!$C$9:$O$35,12,FALSE)=0),X15*(1+P15)*(1+(R15/9)),IF(AND(E15='2. AWARDS'!J8,O15&gt;N15,O15&gt;Q15,VLOOKUP(F15,'2. AWARDS'!$C$9:$O$35,13,FALSE)&lt;&gt;0),VLOOKUP(F15,'2. AWARDS'!$C$9:$O$35,13,FALSE)*(1+P15)*(1+(R15/9)),IF(AND(E15='2. AWARDS'!J8,O15&gt;N15,O15&gt;Q15,VLOOKUP(F15,'2. AWARDS'!$C$9:$O$35,13,FALSE)=0),X15*(1+P15)*(1+(R15/9)),IF(AND(O15&lt;N15,O15&gt;Q15),X15*(1+P15)*(1+(R15/9)),IF(AND(E15='2. AWARDS'!F8,O15=MAX(N15,Q15),VLOOKUP(F15,'2. AWARDS'!$C$9:$O$35,9,FALSE)&lt;&gt;0),VLOOKUP(F15,'2. AWARDS'!$C$9:$O$35,9,FALSE)*(1+P15)*(1+(R15/9)),IF(AND(E15='2. AWARDS'!F8,O15=MAX(N15,Q15),VLOOKUP(F15,'2. AWARDS'!$C$9:$O$35,9,FALSE)=0),X15*(1+P15)*(1+(R15/9)),IF(AND(E15='2. AWARDS'!G8,O15=MAX(N15,Q15),VLOOKUP(F15,'2. AWARDS'!$C$9:$O$35,10,FALSE)&lt;&gt;0),VLOOKUP(F15,'2. AWARDS'!$C$9:$O$35,10,FALSE)*(1+P15)*(1+(R15/9)),IF(AND(E15='2. AWARDS'!G8,O15=MAX(N15,Q15),VLOOKUP(F15,'2. AWARDS'!$C$9:$O$35,10,FALSE)=0),X15*(1+P15)*(1+(R15/9)),IF(AND(E15='2. AWARDS'!H8,O15=MAX(N15,Q15),VLOOKUP(F15,'2. AWARDS'!$C$9:$O$35,11,FALSE)&lt;&gt;0),VLOOKUP(F15,'2. AWARDS'!$C$9:$O$35,11,FALSE)*(1+P15)*(1+(R15/9)),IF(AND(E15='2. AWARDS'!H8,O15=MAX(N15,Q15),VLOOKUP(F15,'2. AWARDS'!$C$9:$O$35,11,FALSE)=0),X15*(1+P15)*(1+(R15/9)),IF(AND(E15='2. AWARDS'!I8,O15=MAX(N15,Q15),VLOOKUP(F15,'2. AWARDS'!$C$9:$O$35,12,FALSE)&lt;&gt;0),VLOOKUP(F15,'2. AWARDS'!$C$9:$O$35,12,FALSE)*(1+P15)*(1+(R15/9)),IF(AND(E15='2. AWARDS'!I8,O15=MAX(N15,Q15),VLOOKUP(F15,'2. AWARDS'!$C$9:$O$35,12,FALSE)=0),X15*(1+P15)*(1+(R15/9)),IF(AND(E15='2. AWARDS'!J8,O15=MAX(N15,Q15),VLOOKUP(F15,'2. AWARDS'!$C$9:$O$35,13,FALSE)&lt;&gt;0),VLOOKUP(F15,'2. AWARDS'!$C$9:$O$35,13,FALSE)*(1+P15)*(1+(R15/9)),IF(AND(E15='2. AWARDS'!J8,O15=MAX(N15,Q15),VLOOKUP(F15,'2. AWARDS'!$C$9:$O$35,13,FALSE)=0),X15*(1+P15)*(1+(R15/9)),IF(AND(O15&lt;N15,O15&lt;Q15),X15*(1+P15),IF(AND(O15=N15,N15&lt;Q15,E15='2. AWARDS'!F8),VLOOKUP(F15,'2. AWARDS'!$C$9:$O$35,9,FALSE)*(1+P15),IF(AND(O15=N15,N15&lt;Q15,E15='2. AWARDS'!G8),VLOOKUP(F15,'2. AWARDS'!$C$9:$O$35,10,FALSE)*(1+P15),IF(AND(O15=N15,N15&lt;Q15,E15='2. AWARDS'!H8),VLOOKUP(F15,'2. AWARDS'!$C$9:$O$35,11,FALSE)*(1+P15),IF(AND(O15=N15,N15&lt;Q15,E15='2. AWARDS'!I8),VLOOKUP(F15,'2. AWARDS'!$C$9:$O$35,12,FALSE)*(1+P15),IF(AND(O15=N15,N15&lt;Q15,E15='2. AWARDS'!J8),VLOOKUP(F15,'2. AWARDS'!$C$9:$O$35,13,FALSE)*(1+P15),IF(AND(O15=Q15,N15&gt;Q15),X15*(1+P15)*(1+(R15/9)),IF(AND(E15='2. AWARDS'!F8,O15&gt;N15,O15&lt;Q15,VLOOKUP(F15,'2. AWARDS'!$C$9:$O$35,9,FALSE)&lt;&gt;0),VLOOKUP(F15,'2. AWARDS'!$C$9:$O$35,9,FALSE)*(1+P15),IF(AND(E15='2. AWARDS'!G8,O15&gt;N15,O15&lt;Q15,VLOOKUP(F15,'2. AWARDS'!$C$9:$O$35,10,FALSE)&lt;&gt;0),VLOOKUP(F15,'2. AWARDS'!$C$9:$O$35,10,FALSE)*(1+P15),IF(AND(E15='2. AWARDS'!H8,O15&gt;N15,O15&lt;Q15,VLOOKUP(F15,'2. AWARDS'!$C$9:$O$35,11,FALSE)&lt;&gt;0),VLOOKUP(F15,'2. AWARDS'!$C$9:$O$35,11,FALSE)*(1+P15),IF(AND(E15='2. AWARDS'!I8,O15&gt;N15,O15&lt;Q15,VLOOKUP(F15,'2. AWARDS'!$C$9:$O$35,12,FALSE)&lt;&gt;0),VLOOKUP(F15,'2. AWARDS'!$C$9:$O$35,12,FALSE)*(1+P15),IF(AND(E15='2. AWARDS'!J8,O15&gt;N15,O15&lt;Q15,VLOOKUP(F15,'2. AWARDS'!$C$9:$O$35,13,FALSE)&lt;&gt;0),VLOOKUP(F15,'2. AWARDS'!$C$9:$O$35,13,FALSE)*(1+P15),X15*(1+P15))))))))))))))))))))))))))))))))))</f>
        <v>#N/A</v>
      </c>
      <c r="AA15" s="661" t="e">
        <f t="shared" ref="AA15:AA18" si="19">IF(OR(Q15=MAX(N15,O15),AND(Q15&gt;O15,Q15&gt;N15)),(MAX(Y15,Z15)*(R15/9))+MAX(Y15:Z15),IF(OR(Q15=MIN(N15,O15),AND(Q15&lt;N15,Q15&lt;O15)),X15*(1+(R15/9)),IF(AND(Q15&lt;O15,Q15&gt;N15,Y15&gt;0),Y15*(1+(R15/9)),IF(AND(Q15&lt;O15,Q15&gt;N15,Y15=0),X15*(1+(R15/9)),X15*(1+P15)*(1+(R15/9))))))</f>
        <v>#N/A</v>
      </c>
      <c r="AB15" s="683"/>
      <c r="AC15" s="774"/>
      <c r="AD15" s="774"/>
      <c r="AE15" s="777"/>
      <c r="AF15" s="781">
        <f t="shared" ref="AF15:AF49" si="20">IF(J15="YES",L15*M15*K15*MAX(W15:AA15),0)</f>
        <v>0</v>
      </c>
      <c r="AG15" s="781" t="e">
        <f>HLOOKUP(E15,'2. AWARDS'!$F$7:$J$40,32,FALSE)/5*HLOOKUP(E15,'2. AWARDS'!$F$7:$J$40,31,FALSE)*MAX(W15:AA15)*M15*HLOOKUP(E15,'2. AWARDS'!$F$7:$J$40,34,FALSE)*(L15/(38*2))</f>
        <v>#N/A</v>
      </c>
      <c r="AH15" s="783" t="e">
        <f>((HLOOKUP(E15,'2. AWARDS'!$F$7:$J$42,36,FALSE)/HLOOKUP(E15,'2. AWARDS'!$F$7:$J$42,35,FALSE)*HLOOKUP(E15,'2. AWARDS'!$F$7:$J$45,39,FALSE))/(HLOOKUP(E15,'2. AWARDS'!$F$7:$J$45,31,FALSE)*2)*L15*M15*HLOOKUP(E15,'2. AWARDS'!$F$7:$J$45,31,FALSE)*MAX(W15:AA15))</f>
        <v>#N/A</v>
      </c>
      <c r="AI15" s="474"/>
      <c r="AJ15" s="804"/>
      <c r="AK15" s="801"/>
      <c r="AL15" s="801"/>
      <c r="AM15" s="802"/>
      <c r="AN15" s="1012"/>
      <c r="AO15" s="836">
        <f>IF(AJ15="YES",HLOOKUP(E15,'2. AWARDS'!$F$7:$J$38,32,FALSE)/5*HLOOKUP(E15,'2. AWARDS'!$F$7:$J$37,31,FALSE)*L15/(HLOOKUP(E15,'2. AWARDS'!$F$7:$J$37,31,FALSE)*2)*M15*MAX(W15:AA15)*(1+HLOOKUP(E15,'2. AWARDS'!$F$7:$J$43,37,FALSE))*(1-AM15),0)</f>
        <v>0</v>
      </c>
      <c r="AP15" s="836">
        <f>IF(AK15="YES",HLOOKUP(E15,'2. AWARDS'!$F$7:$J$39,33,FALSE)/5*HLOOKUP(E15,'2. AWARDS'!$F$7:$J$37,31,FALSE)*L15/(HLOOKUP(E15,'2. AWARDS'!$F$7:$J$37,31,FALSE)*2)*M15*MAX(W15:AA15)*(1+HLOOKUP(E15,'2. AWARDS'!$F$7:$J$43,37,FALSE))*(1-AM15),0)</f>
        <v>0</v>
      </c>
      <c r="AQ15" s="838">
        <f>IF(AL15="YES",HLOOKUP(E15,'2. AWARDS'!$F$7:$J$47,40,FALSE)/5*HLOOKUP(E15,'2. AWARDS'!$F$7:$J$37,31,FALSE)*L15/(HLOOKUP(E15,'2. AWARDS'!$F$7:$J$37,31,FALSE)*2)*M15*MAX(W15:AA15)*(1+HLOOKUP(E15,'2. AWARDS'!$F$7:$J$43,37,FALSE))*(1-AM15),0)</f>
        <v>0</v>
      </c>
      <c r="AR15" s="839">
        <f>(IF(AJ15="YES",HLOOKUP(E15,'2. AWARDS'!$F$7:$J$39,32,FALSE),0)+IF(AK15="YES",HLOOKUP(E15,'2. AWARDS'!$F$7:$J$39,33,FALSE),0)+IF(AL15="YES",HLOOKUP(E15,'2. AWARDS'!$F$7:$J$47,40,FALSE),0))*L15/76*7.6*AM15*AN15*M15</f>
        <v>0</v>
      </c>
      <c r="AS15" s="683"/>
      <c r="AT15" s="802">
        <f>'1. KEY DATA'!J$29</f>
        <v>0</v>
      </c>
      <c r="AU15" s="822">
        <f>'1. KEY DATA'!J$30</f>
        <v>0.09</v>
      </c>
      <c r="AV15" s="502"/>
      <c r="AW15" s="899">
        <f t="shared" ref="AW15:AW49" si="21">IF(OR(E15=0,F15=0),0,IF(OR(O15=0,Q15=0),"date missing",IF(W15&gt;MAX(X15:AA15),((((T15*(V15-D15+1))+( W15*(D15+365-V15-1)))/365*(1+H15+I15)*L15*M15*26.071428)+SUM(AC15:AH15)+SUM(AO15:AQ15))*(1+AT15+AU15)+AR15,IF(OR(N15=0,Y15=0),((((((X15*(O15+Q15-MAX(O15,Q15)-D15+1))+(MIN(Z15,AA15)*(MAX(O15,Q15)-MIN(O15,Q15)))+(MAX(Z15,AA15)*(D15+365-1-MAX(O15,Q15)))))/365)*(1+H15+I15)*L15*M15*26.071428)+SUM(AC15:AH15)+SUM(AO15:AQ15))*(1+AT15+AU15)+AR15,IF(Y15&lt;AND(Z15,AA15),(((((X15*(N15-D15+1))+(Y15*(MIN(O15,Q15)-N15))+(MIN(Z15,AA15)*(MAX(O15,Q15)-MIN(O15,Q15)))+(MAX(Z15,AA15)*(D15+365-MAX(O15,Q15)-1)))/365)*(1+H15+I15)*L15*M15*26.071428)+SUM(AC15:AH15)+SUM(AO15:AQ15))*(1+AT15+AU15)+AR15,IF(Z15&lt;AND(Y15,AA15),((((X15*(O15-D15+1)+(Z15*(MIN(N15,Q15)-O15))+(MIN(Y15,AA15)*(MAX(N15,Q15)-MIN(N15,Q15)))+(MAX(Y15,AA15)*(D15+365-MAX(N15,Q15)-1)))/365)*(1+H15+I15)*L15*M15*26.071428)+SUM(AC15:AH15)+SUM(AO15:AQ15))*(1+AT15+AU15)+AR15,(((((X15*(Q15-D15+1)+(AA15*(MIN(N15,O15)-Q15))+(MIN(Y15,Z15)*(MAX(N15,O15)-MIN(N15,O15)))+(MAX(Y15,Z15)*(D15+365-MAX(N15,O15)-1)))/365)*(1+H15+I15)*L15*M15*26.071428)+SUM(AC15:AH15)+SUM(AO15:AQ15))*(1+AT15+AU15)+AR15)))))))</f>
        <v>0</v>
      </c>
      <c r="AX15" s="502"/>
      <c r="AY15" s="476"/>
      <c r="AZ15" s="232"/>
      <c r="BA15" s="232"/>
      <c r="BB15" s="232"/>
      <c r="BC15" s="232"/>
      <c r="BD15" s="232"/>
      <c r="BE15" s="232"/>
      <c r="BF15" s="232"/>
      <c r="BG15" s="232"/>
      <c r="BH15" s="232"/>
      <c r="BI15" s="1392"/>
      <c r="BJ15" s="1393"/>
      <c r="BK15" s="1393"/>
      <c r="BL15" s="1394"/>
      <c r="BM15" s="301">
        <f t="shared" ref="BM15:BM49" si="22">1-SUM(AY15:BL15)</f>
        <v>1</v>
      </c>
      <c r="BO15" s="244">
        <f t="shared" ref="BO15:BO49" si="23">IF(OR($E15=0,$F15=0),0,IF($AW15&gt;0,IF($BM15=0,$AW15*AY15,"alloc error"),"-"))</f>
        <v>0</v>
      </c>
      <c r="BP15" s="245">
        <f t="shared" ref="BP15:BP49" si="24">IF(OR($E15=0,$F15=0),0,IF($AW15&gt;0,IF($BM15=0,$AW15*AZ15,"alloc error"),"-"))</f>
        <v>0</v>
      </c>
      <c r="BQ15" s="245">
        <f t="shared" ref="BQ15:BQ49" si="25">IF(OR($E15=0,$F15=0),0,IF($AW15&gt;0,IF($BM15=0,$AW15*BA15,"alloc error"),"-"))</f>
        <v>0</v>
      </c>
      <c r="BR15" s="245">
        <f t="shared" ref="BR15:BR49" si="26">IF(OR($E15=0,$F15=0),0,IF($AW15&gt;0,IF($BM15=0,$AW15*BB15,"alloc error"),"-"))</f>
        <v>0</v>
      </c>
      <c r="BS15" s="245">
        <f t="shared" ref="BS15:BS49" si="27">IF(OR($E15=0,$F15=0),0,IF($AW15&gt;0,IF($BM15=0,$AW15*BC15,"alloc error"),"-"))</f>
        <v>0</v>
      </c>
      <c r="BT15" s="245">
        <f t="shared" ref="BT15:BT49" si="28">IF(OR($E15=0,$F15=0),0,IF($AW15&gt;0,IF($BM15=0,$AW15*BD15,"alloc error"),"-"))</f>
        <v>0</v>
      </c>
      <c r="BU15" s="245">
        <f t="shared" ref="BU15:BU49" si="29">IF(OR($E15=0,$F15=0),0,IF($AW15&gt;0,IF($BM15=0,$AW15*BE15,"alloc error"),"-"))</f>
        <v>0</v>
      </c>
      <c r="BV15" s="245">
        <f t="shared" ref="BV15:BV49" si="30">IF(OR($E15=0,$F15=0),0,IF($AW15&gt;0,IF($BM15=0,$AW15*BF15,"alloc error"),"-"))</f>
        <v>0</v>
      </c>
      <c r="BW15" s="245">
        <f t="shared" ref="BW15:BW49" si="31">IF(OR($E15=0,$F15=0),0,IF($AW15&gt;0,IF($BM15=0,$AW15*BG15,"alloc error"),"-"))</f>
        <v>0</v>
      </c>
      <c r="BX15" s="246">
        <f t="shared" ref="BX15:BX49" si="32">IF(OR($E15=0,$F15=0),0,IF($AW15&gt;0,IF($BM15=0,$AW15*BH15,"alloc error"),"-"))</f>
        <v>0</v>
      </c>
      <c r="BY15" s="1380"/>
      <c r="BZ15" s="1381"/>
      <c r="CA15" s="1381"/>
      <c r="CB15" s="1382"/>
    </row>
    <row r="16" spans="1:80" ht="15.75" thickBot="1">
      <c r="A16">
        <f t="shared" si="0"/>
        <v>3</v>
      </c>
      <c r="B16" s="217"/>
      <c r="C16" s="214"/>
      <c r="D16" s="699">
        <f t="shared" ref="D16:D49" si="33">D15</f>
        <v>0</v>
      </c>
      <c r="E16" s="697"/>
      <c r="F16" s="900"/>
      <c r="G16" s="701"/>
      <c r="H16" s="693"/>
      <c r="I16" s="694"/>
      <c r="J16" s="1113"/>
      <c r="K16" s="1112"/>
      <c r="L16" s="1108"/>
      <c r="M16" s="689"/>
      <c r="N16" s="628"/>
      <c r="O16" s="628"/>
      <c r="P16" s="638">
        <f t="shared" ref="P16:P20" si="34">P15</f>
        <v>0.03</v>
      </c>
      <c r="Q16" s="797"/>
      <c r="R16" s="673" t="str">
        <f t="shared" si="17"/>
        <v>-</v>
      </c>
      <c r="S16" s="649"/>
      <c r="T16" s="647">
        <v>0</v>
      </c>
      <c r="U16" s="827"/>
      <c r="V16" s="669"/>
      <c r="W16" s="798">
        <f t="shared" si="18"/>
        <v>0</v>
      </c>
      <c r="X16" s="656">
        <f>IF(OR(E16=0,F16=0),0,IF(E16='2. AWARDS'!F$7,VLOOKUP(F16,'2. AWARDS'!$C$9:$F$35,4,FALSE),IF(E16='2. AWARDS'!G$7,VLOOKUP(F16,'2. AWARDS'!$C$9:$G$35,5,FALSE),IF(E16='2. AWARDS'!H$7,VLOOKUP(F16,'2. AWARDS'!$C$9:$H$35,6,FALSE),IF(E16='2. AWARDS'!I$7,VLOOKUP(F16,'2. AWARDS'!$C$9:$I$35,7,FALSE),VLOOKUP(F16,'2. AWARDS'!$C$9:$J$35,8,FALSE))))))</f>
        <v>0</v>
      </c>
      <c r="Y16" s="980">
        <f>IF(OR(E16=0,F16=0),0,IF(AND(N16=0,E16='2. AWARDS'!F$7,VLOOKUP(F16,'2. AWARDS'!$C$9:$O$35,9,FALSE)&lt;&gt;0),"date missing",IF(AND(N16=0,E16='2. AWARDS'!G$7,VLOOKUP(F16,'2. AWARDS'!$C$9:$O$35,10,FALSE)&lt;&gt;0),"date missing",IF(AND(N16=0,E16='2. AWARDS'!H$7,VLOOKUP(F16,'2. AWARDS'!$C$9:$O$35,11,FALSE)&lt;&gt;0),"date missing",IF(AND(N16=0,E16='2. AWARDS'!I$7,VLOOKUP(F16,'2. AWARDS'!$C$9:$O$35,12,FALSE)&lt;&gt;0),"date missing",IF(AND(N16=0,E16='2. AWARDS'!J$7,VLOOKUP(F16,'2. AWARDS'!$C$9:$O$35,13,FALSE)&lt;&gt;0),"date missing",IF(N16=0,0,IF(OR(N16=MIN(O16,Q16),AND(N16&lt;O16,N16&lt;Q16,N16&gt;0)),IF(E16='2. AWARDS'!F$7,VLOOKUP(F16,'2. AWARDS'!$C$9:$O$35,9,FALSE),IF(E16='2. AWARDS'!G$7,VLOOKUP(F16,'2. AWARDS'!$C$9:$O$35,10,FALSE),IF(E16='2. AWARDS'!H$7,VLOOKUP(F16,'2. AWARDS'!$C$9:$O$35,11,FALSE),IF(E16='2. AWARDS'!I$7,VLOOKUP(F16,'2. AWARDS'!$C$9:$O$35,12,FALSE),IF(E16='2. AWARDS'!J$7,VLOOKUP(F16,'2. AWARDS'!$C$9:$O$35,13,FALSE)))))),IF(AND(N16&gt;O16,N16&lt;Q16),IF(E16='2. AWARDS'!F$7,(1+P16)*VLOOKUP(F16,'2. AWARDS'!$C$9:$O$35,9,FALSE),IF(E16='2. AWARDS'!G$7,(1+P16)*VLOOKUP(F16,'2. AWARDS'!$C$9:$O$35,10,FALSE),IF(E16='2. AWARDS'!H$7,(1+P16)*VLOOKUP(F16,'2. AWARDS'!$C$9:$O$35,11,FALSE),IF(E16='2. AWARDS'!I$7,(1+P16)*VLOOKUP(F16,'2. AWARDS'!$C$9:$O$35,12,FALSE),IF(E16='2. AWARDS'!J$7,(1+P16)*VLOOKUP(F16,'2. AWARDS'!$C$9:$O$35,13,FALSE)))))),IF(AND(N16&lt;O16,N16&gt;Q16),IF(E16='2. AWARDS'!F$7,(1+(R16/9))*VLOOKUP(F16,'2. AWARDS'!$C$9:$O$35,9,FALSE),IF(E16='2. AWARDS'!G$7,(1+(R16/9))*VLOOKUP(F16,'2. AWARDS'!$C$9:$O$35,10,FALSE),IF(E16='2. AWARDS'!H$7,(1+(R16/9))*VLOOKUP(F16,'2. AWARDS'!$C$9:$O$35,11,FALSE),IF(E16='2. AWARDS'!I$7,(1+(R16/9))*VLOOKUP(F16,'2. AWARDS'!$C$9:$O$35,12,FALSE),IF(E16='2. AWARDS'!J$7,(1+(R16/9))*VLOOKUP(F16,'2. AWARDS'!$C$9:$O$35,13,FALSE)))))),IF(OR(N16=MAX(O16,Q16),AND(N16&gt;O16,N16&gt;Q16)),IF(E16='2. AWARDS'!F$7,((1+(R16/9))*(1+P16))*VLOOKUP(F16,'2. AWARDS'!$C$9:$O$35,9,FALSE),IF(E16='2. AWARDS'!G$7,((1+(R16/9))*(1+P16))*VLOOKUP(F16,'2. AWARDS'!$C$9:$O$35,10,FALSE),IF(E16='2. AWARDS'!H$7,((1+(R16/9))*(1+P16))*VLOOKUP(F16,'2. AWARDS'!$C$9:$O$35,11,FALSE),IF(E16='2. AWARDS'!I$7,((1+(R16/9))*(1+P16))*VLOOKUP(F16,'2. AWARDS'!$C$9:$O$35,12,FALSE),IF(E16='2. AWARDS'!J$7,((1+(R16/9))*(1+P16))*VLOOKUP(F16,'2. AWARDS'!$C$9:$O$35,13,FALSE)))))),"?")))))))))))</f>
        <v>0</v>
      </c>
      <c r="Z16" s="1093" t="e">
        <f>IF(AND(E16='2. AWARDS'!F9,O16&gt;N16,O16&gt;Q16,VLOOKUP(F16,'2. AWARDS'!$C$9:$O$35,9,FALSE)&lt;&gt;0),VLOOKUP(F16,'2. AWARDS'!$C$9:$O$35,9,FALSE)*(1+P16)*(1+(R16/9)),IF(AND(E16='2. AWARDS'!F9,O16&gt;N16,O16&gt;Q16,VLOOKUP(F16,'2. AWARDS'!$C$9:$O$35,9,FALSE)=0),X16*(1+P16)*(1+(R16/9)),IF(AND(E16='2. AWARDS'!G9,O16&gt;N16,O16&gt;Q16,VLOOKUP(F16,'2. AWARDS'!$C$9:$O$35,10,FALSE)&lt;&gt;0),VLOOKUP(F16,'2. AWARDS'!$C$9:$O$35,10,FALSE)*(1+P16)*(1+(R16/9)),IF(AND(E16='2. AWARDS'!G9,O16&gt;N16,O16&gt;Q16,VLOOKUP(F16,'2. AWARDS'!$C$9:$O$35,10,FALSE)=0),X16*(1+P16)*(1+(R16/9)),IF(AND(E16='2. AWARDS'!H9,O16&gt;N16,O16&gt;Q16,VLOOKUP(F16,'2. AWARDS'!$C$9:$O$35,11,FALSE)&lt;&gt;0),VLOOKUP(F16,'2. AWARDS'!$C$9:$O$35,11,FALSE)*(1+P16)*(1+(R16/9)),IF(AND(E16='2. AWARDS'!H9,O16&gt;N16,O16&gt;Q16,VLOOKUP(F16,'2. AWARDS'!$C$9:$O$35,11,FALSE)=0),X16*(1+P16)*(1+(R16/9)),IF(AND(E16='2. AWARDS'!I9,O16&gt;N16,O16&gt;Q16,VLOOKUP(F16,'2. AWARDS'!$C$9:$O$35,12,FALSE)&lt;&gt;0),VLOOKUP(F16,'2. AWARDS'!$C$9:$O$35,12,FALSE)*(1+P16)*(1+(R16/9)),IF(AND(E16='2. AWARDS'!I9,O16&gt;N16,O16&gt;Q16,VLOOKUP(F16,'2. AWARDS'!$C$9:$O$35,12,FALSE)=0),X16*(1+P16)*(1+(R16/9)),IF(AND(E16='2. AWARDS'!J9,O16&gt;N16,O16&gt;Q16,VLOOKUP(F16,'2. AWARDS'!$C$9:$O$35,13,FALSE)&lt;&gt;0),VLOOKUP(F16,'2. AWARDS'!$C$9:$O$35,13,FALSE)*(1+P16)*(1+(R16/9)),IF(AND(E16='2. AWARDS'!J9,O16&gt;N16,O16&gt;Q16,VLOOKUP(F16,'2. AWARDS'!$C$9:$O$35,13,FALSE)=0),X16*(1+P16)*(1+(R16/9)),IF(AND(O16&lt;N16,O16&gt;Q16),X16*(1+P16)*(1+(R16/9)),IF(AND(E16='2. AWARDS'!F9,O16=MAX(N16,Q16),VLOOKUP(F16,'2. AWARDS'!$C$9:$O$35,9,FALSE)&lt;&gt;0),VLOOKUP(F16,'2. AWARDS'!$C$9:$O$35,9,FALSE)*(1+P16)*(1+(R16/9)),IF(AND(E16='2. AWARDS'!F9,O16=MAX(N16,Q16),VLOOKUP(F16,'2. AWARDS'!$C$9:$O$35,9,FALSE)=0),X16*(1+P16)*(1+(R16/9)),IF(AND(E16='2. AWARDS'!G9,O16=MAX(N16,Q16),VLOOKUP(F16,'2. AWARDS'!$C$9:$O$35,10,FALSE)&lt;&gt;0),VLOOKUP(F16,'2. AWARDS'!$C$9:$O$35,10,FALSE)*(1+P16)*(1+(R16/9)),IF(AND(E16='2. AWARDS'!G9,O16=MAX(N16,Q16),VLOOKUP(F16,'2. AWARDS'!$C$9:$O$35,10,FALSE)=0),X16*(1+P16)*(1+(R16/9)),IF(AND(E16='2. AWARDS'!H9,O16=MAX(N16,Q16),VLOOKUP(F16,'2. AWARDS'!$C$9:$O$35,11,FALSE)&lt;&gt;0),VLOOKUP(F16,'2. AWARDS'!$C$9:$O$35,11,FALSE)*(1+P16)*(1+(R16/9)),IF(AND(E16='2. AWARDS'!H9,O16=MAX(N16,Q16),VLOOKUP(F16,'2. AWARDS'!$C$9:$O$35,11,FALSE)=0),X16*(1+P16)*(1+(R16/9)),IF(AND(E16='2. AWARDS'!I9,O16=MAX(N16,Q16),VLOOKUP(F16,'2. AWARDS'!$C$9:$O$35,12,FALSE)&lt;&gt;0),VLOOKUP(F16,'2. AWARDS'!$C$9:$O$35,12,FALSE)*(1+P16)*(1+(R16/9)),IF(AND(E16='2. AWARDS'!I9,O16=MAX(N16,Q16),VLOOKUP(F16,'2. AWARDS'!$C$9:$O$35,12,FALSE)=0),X16*(1+P16)*(1+(R16/9)),IF(AND(E16='2. AWARDS'!J9,O16=MAX(N16,Q16),VLOOKUP(F16,'2. AWARDS'!$C$9:$O$35,13,FALSE)&lt;&gt;0),VLOOKUP(F16,'2. AWARDS'!$C$9:$O$35,13,FALSE)*(1+P16)*(1+(R16/9)),IF(AND(E16='2. AWARDS'!J9,O16=MAX(N16,Q16),VLOOKUP(F16,'2. AWARDS'!$C$9:$O$35,13,FALSE)=0),X16*(1+P16)*(1+(R16/9)),IF(AND(O16&lt;N16,O16&lt;Q16),X16*(1+P16),IF(AND(O16=N16,N16&lt;Q16,E16='2. AWARDS'!F9),VLOOKUP(F16,'2. AWARDS'!$C$9:$O$35,9,FALSE)*(1+P16),IF(AND(O16=N16,N16&lt;Q16,E16='2. AWARDS'!G9),VLOOKUP(F16,'2. AWARDS'!$C$9:$O$35,10,FALSE)*(1+P16),IF(AND(O16=N16,N16&lt;Q16,E16='2. AWARDS'!H9),VLOOKUP(F16,'2. AWARDS'!$C$9:$O$35,11,FALSE)*(1+P16),IF(AND(O16=N16,N16&lt;Q16,E16='2. AWARDS'!I9),VLOOKUP(F16,'2. AWARDS'!$C$9:$O$35,12,FALSE)*(1+P16),IF(AND(O16=N16,N16&lt;Q16,E16='2. AWARDS'!J9),VLOOKUP(F16,'2. AWARDS'!$C$9:$O$35,13,FALSE)*(1+P16),IF(AND(O16=Q16,N16&gt;Q16),X16*(1+P16)*(1+(R16/9)),IF(AND(E16='2. AWARDS'!F9,O16&gt;N16,O16&lt;Q16,VLOOKUP(F16,'2. AWARDS'!$C$9:$O$35,9,FALSE)&lt;&gt;0),VLOOKUP(F16,'2. AWARDS'!$C$9:$O$35,9,FALSE)*(1+P16),IF(AND(E16='2. AWARDS'!G9,O16&gt;N16,O16&lt;Q16,VLOOKUP(F16,'2. AWARDS'!$C$9:$O$35,10,FALSE)&lt;&gt;0),VLOOKUP(F16,'2. AWARDS'!$C$9:$O$35,10,FALSE)*(1+P16),IF(AND(E16='2. AWARDS'!H9,O16&gt;N16,O16&lt;Q16,VLOOKUP(F16,'2. AWARDS'!$C$9:$O$35,11,FALSE)&lt;&gt;0),VLOOKUP(F16,'2. AWARDS'!$C$9:$O$35,11,FALSE)*(1+P16),IF(AND(E16='2. AWARDS'!I9,O16&gt;N16,O16&lt;Q16,VLOOKUP(F16,'2. AWARDS'!$C$9:$O$35,12,FALSE)&lt;&gt;0),VLOOKUP(F16,'2. AWARDS'!$C$9:$O$35,12,FALSE)*(1+P16),IF(AND(E16='2. AWARDS'!J9,O16&gt;N16,O16&lt;Q16,VLOOKUP(F16,'2. AWARDS'!$C$9:$O$35,13,FALSE)&lt;&gt;0),VLOOKUP(F16,'2. AWARDS'!$C$9:$O$35,13,FALSE)*(1+P16),X16*(1+P16))))))))))))))))))))))))))))))))))</f>
        <v>#N/A</v>
      </c>
      <c r="AA16" s="661" t="e">
        <f t="shared" si="19"/>
        <v>#N/A</v>
      </c>
      <c r="AB16" s="683"/>
      <c r="AC16" s="774"/>
      <c r="AD16" s="774"/>
      <c r="AE16" s="777"/>
      <c r="AF16" s="781">
        <f t="shared" si="20"/>
        <v>0</v>
      </c>
      <c r="AG16" s="781" t="e">
        <f>HLOOKUP(E16,'2. AWARDS'!$F$7:$J$40,32,FALSE)/5*HLOOKUP(E16,'2. AWARDS'!$F$7:$J$40,31,FALSE)*MAX(W16:AA16)*M16*HLOOKUP(E16,'2. AWARDS'!$F$7:$J$40,34,FALSE)*(L16/(38*2))</f>
        <v>#N/A</v>
      </c>
      <c r="AH16" s="783" t="e">
        <f>((HLOOKUP(E16,'2. AWARDS'!$F$7:$J$42,36,FALSE)/HLOOKUP(E16,'2. AWARDS'!$F$7:$J$42,35,FALSE)*HLOOKUP(E16,'2. AWARDS'!$F$7:$J$45,39,FALSE))/(HLOOKUP(E16,'2. AWARDS'!$F$7:$J$45,31,FALSE)*2)*L16*M16*HLOOKUP(E16,'2. AWARDS'!$F$7:$J$45,31,FALSE)*MAX(W16:AA16))</f>
        <v>#N/A</v>
      </c>
      <c r="AI16" s="474"/>
      <c r="AJ16" s="804"/>
      <c r="AK16" s="804"/>
      <c r="AL16" s="801"/>
      <c r="AM16" s="802"/>
      <c r="AN16" s="1012"/>
      <c r="AO16" s="836">
        <f>IF(AJ16="YES",HLOOKUP(E16,'2. AWARDS'!$F$7:$J$38,32,FALSE)/5*HLOOKUP(E16,'2. AWARDS'!$F$7:$J$37,31,FALSE)*L16/(HLOOKUP(E16,'2. AWARDS'!$F$7:$J$37,31,FALSE)*2)*M16*MAX(W16:AA16)*(1+HLOOKUP(E16,'2. AWARDS'!$F$7:$J$43,37,FALSE))*(1-AM16),0)</f>
        <v>0</v>
      </c>
      <c r="AP16" s="836">
        <f>IF(AK16="YES",HLOOKUP(E16,'2. AWARDS'!$F$7:$J$39,33,FALSE)/5*HLOOKUP(E16,'2. AWARDS'!$F$7:$J$37,31,FALSE)*L16/(HLOOKUP(E16,'2. AWARDS'!$F$7:$J$37,31,FALSE)*2)*M16*MAX(W16:AA16)*(1+HLOOKUP(E16,'2. AWARDS'!$F$7:$J$43,37,FALSE))*(1-AM16),0)</f>
        <v>0</v>
      </c>
      <c r="AQ16" s="838">
        <f>IF(AL16="YES",HLOOKUP(E16,'2. AWARDS'!$F$7:$J$47,40,FALSE)/5*HLOOKUP(E16,'2. AWARDS'!$F$7:$J$37,31,FALSE)*L16/(HLOOKUP(E16,'2. AWARDS'!$F$7:$J$37,31,FALSE)*2)*M16*MAX(W16:AA16)*(1+HLOOKUP(E16,'2. AWARDS'!$F$7:$J$43,37,FALSE))*(1-AM16),0)</f>
        <v>0</v>
      </c>
      <c r="AR16" s="839">
        <f>(IF(AJ16="YES",HLOOKUP(E16,'2. AWARDS'!$F$7:$J$39,32,FALSE),0)+IF(AK16="YES",HLOOKUP(E16,'2. AWARDS'!$F$7:$J$39,33,FALSE),0)+IF(AL16="YES",HLOOKUP(E16,'2. AWARDS'!$F$7:$J$47,40,FALSE),0))*L16/76*7.6*AM16*AN16*M16</f>
        <v>0</v>
      </c>
      <c r="AS16" s="683"/>
      <c r="AT16" s="802">
        <f>'1. KEY DATA'!J$29</f>
        <v>0</v>
      </c>
      <c r="AU16" s="822">
        <f>'1. KEY DATA'!J$30</f>
        <v>0.09</v>
      </c>
      <c r="AV16" s="502"/>
      <c r="AW16" s="899">
        <f t="shared" si="21"/>
        <v>0</v>
      </c>
      <c r="AX16" s="502"/>
      <c r="AY16" s="477"/>
      <c r="AZ16" s="233"/>
      <c r="BA16" s="233"/>
      <c r="BB16" s="233"/>
      <c r="BC16" s="233"/>
      <c r="BD16" s="233"/>
      <c r="BE16" s="233"/>
      <c r="BF16" s="233"/>
      <c r="BG16" s="233"/>
      <c r="BH16" s="233"/>
      <c r="BI16" s="1392"/>
      <c r="BJ16" s="1393"/>
      <c r="BK16" s="1393"/>
      <c r="BL16" s="1394"/>
      <c r="BM16" s="301">
        <f t="shared" si="22"/>
        <v>1</v>
      </c>
      <c r="BO16" s="244">
        <f t="shared" si="23"/>
        <v>0</v>
      </c>
      <c r="BP16" s="245">
        <f t="shared" si="24"/>
        <v>0</v>
      </c>
      <c r="BQ16" s="245">
        <f t="shared" si="25"/>
        <v>0</v>
      </c>
      <c r="BR16" s="245">
        <f t="shared" si="26"/>
        <v>0</v>
      </c>
      <c r="BS16" s="245">
        <f t="shared" si="27"/>
        <v>0</v>
      </c>
      <c r="BT16" s="245">
        <f t="shared" si="28"/>
        <v>0</v>
      </c>
      <c r="BU16" s="245">
        <f t="shared" si="29"/>
        <v>0</v>
      </c>
      <c r="BV16" s="245">
        <f t="shared" si="30"/>
        <v>0</v>
      </c>
      <c r="BW16" s="245">
        <f t="shared" si="31"/>
        <v>0</v>
      </c>
      <c r="BX16" s="246">
        <f t="shared" si="32"/>
        <v>0</v>
      </c>
      <c r="BY16" s="1380"/>
      <c r="BZ16" s="1381"/>
      <c r="CA16" s="1381"/>
      <c r="CB16" s="1382"/>
    </row>
    <row r="17" spans="1:80" ht="15.75" thickBot="1">
      <c r="A17">
        <f t="shared" si="0"/>
        <v>4</v>
      </c>
      <c r="B17" s="217"/>
      <c r="C17" s="214"/>
      <c r="D17" s="699">
        <f t="shared" si="33"/>
        <v>0</v>
      </c>
      <c r="E17" s="697"/>
      <c r="F17" s="900"/>
      <c r="G17" s="702"/>
      <c r="H17" s="693"/>
      <c r="I17" s="694"/>
      <c r="J17" s="1113"/>
      <c r="K17" s="1114"/>
      <c r="L17" s="1108"/>
      <c r="M17" s="689"/>
      <c r="N17" s="628"/>
      <c r="O17" s="628"/>
      <c r="P17" s="638">
        <f t="shared" si="34"/>
        <v>0.03</v>
      </c>
      <c r="Q17" s="797"/>
      <c r="R17" s="673" t="str">
        <f t="shared" si="17"/>
        <v>-</v>
      </c>
      <c r="S17" s="649"/>
      <c r="T17" s="647">
        <v>0</v>
      </c>
      <c r="U17" s="827"/>
      <c r="V17" s="669"/>
      <c r="W17" s="798">
        <f t="shared" si="18"/>
        <v>0</v>
      </c>
      <c r="X17" s="656">
        <f>IF(OR(E17=0,F17=0),0,IF(E17='2. AWARDS'!F$7,VLOOKUP(F17,'2. AWARDS'!$C$9:$F$35,4,FALSE),IF(E17='2. AWARDS'!G$7,VLOOKUP(F17,'2. AWARDS'!$C$9:$G$35,5,FALSE),IF(E17='2. AWARDS'!H$7,VLOOKUP(F17,'2. AWARDS'!$C$9:$H$35,6,FALSE),IF(E17='2. AWARDS'!I$7,VLOOKUP(F17,'2. AWARDS'!$C$9:$I$35,7,FALSE),VLOOKUP(F17,'2. AWARDS'!$C$9:$J$35,8,FALSE))))))</f>
        <v>0</v>
      </c>
      <c r="Y17" s="980">
        <f>IF(OR(E17=0,F17=0),0,IF(AND(N17=0,E17='2. AWARDS'!F$7,VLOOKUP(F17,'2. AWARDS'!$C$9:$O$35,9,FALSE)&lt;&gt;0),"date missing",IF(AND(N17=0,E17='2. AWARDS'!G$7,VLOOKUP(F17,'2. AWARDS'!$C$9:$O$35,10,FALSE)&lt;&gt;0),"date missing",IF(AND(N17=0,E17='2. AWARDS'!H$7,VLOOKUP(F17,'2. AWARDS'!$C$9:$O$35,11,FALSE)&lt;&gt;0),"date missing",IF(AND(N17=0,E17='2. AWARDS'!I$7,VLOOKUP(F17,'2. AWARDS'!$C$9:$O$35,12,FALSE)&lt;&gt;0),"date missing",IF(AND(N17=0,E17='2. AWARDS'!J$7,VLOOKUP(F17,'2. AWARDS'!$C$9:$O$35,13,FALSE)&lt;&gt;0),"date missing",IF(N17=0,0,IF(OR(N17=MIN(O17,Q17),AND(N17&lt;O17,N17&lt;Q17,N17&gt;0)),IF(E17='2. AWARDS'!F$7,VLOOKUP(F17,'2. AWARDS'!$C$9:$O$35,9,FALSE),IF(E17='2. AWARDS'!G$7,VLOOKUP(F17,'2. AWARDS'!$C$9:$O$35,10,FALSE),IF(E17='2. AWARDS'!H$7,VLOOKUP(F17,'2. AWARDS'!$C$9:$O$35,11,FALSE),IF(E17='2. AWARDS'!I$7,VLOOKUP(F17,'2. AWARDS'!$C$9:$O$35,12,FALSE),IF(E17='2. AWARDS'!J$7,VLOOKUP(F17,'2. AWARDS'!$C$9:$O$35,13,FALSE)))))),IF(AND(N17&gt;O17,N17&lt;Q17),IF(E17='2. AWARDS'!F$7,(1+P17)*VLOOKUP(F17,'2. AWARDS'!$C$9:$O$35,9,FALSE),IF(E17='2. AWARDS'!G$7,(1+P17)*VLOOKUP(F17,'2. AWARDS'!$C$9:$O$35,10,FALSE),IF(E17='2. AWARDS'!H$7,(1+P17)*VLOOKUP(F17,'2. AWARDS'!$C$9:$O$35,11,FALSE),IF(E17='2. AWARDS'!I$7,(1+P17)*VLOOKUP(F17,'2. AWARDS'!$C$9:$O$35,12,FALSE),IF(E17='2. AWARDS'!J$7,(1+P17)*VLOOKUP(F17,'2. AWARDS'!$C$9:$O$35,13,FALSE)))))),IF(AND(N17&lt;O17,N17&gt;Q17),IF(E17='2. AWARDS'!F$7,(1+(R17/9))*VLOOKUP(F17,'2. AWARDS'!$C$9:$O$35,9,FALSE),IF(E17='2. AWARDS'!G$7,(1+(R17/9))*VLOOKUP(F17,'2. AWARDS'!$C$9:$O$35,10,FALSE),IF(E17='2. AWARDS'!H$7,(1+(R17/9))*VLOOKUP(F17,'2. AWARDS'!$C$9:$O$35,11,FALSE),IF(E17='2. AWARDS'!I$7,(1+(R17/9))*VLOOKUP(F17,'2. AWARDS'!$C$9:$O$35,12,FALSE),IF(E17='2. AWARDS'!J$7,(1+(R17/9))*VLOOKUP(F17,'2. AWARDS'!$C$9:$O$35,13,FALSE)))))),IF(OR(N17=MAX(O17,Q17),AND(N17&gt;O17,N17&gt;Q17)),IF(E17='2. AWARDS'!F$7,((1+(R17/9))*(1+P17))*VLOOKUP(F17,'2. AWARDS'!$C$9:$O$35,9,FALSE),IF(E17='2. AWARDS'!G$7,((1+(R17/9))*(1+P17))*VLOOKUP(F17,'2. AWARDS'!$C$9:$O$35,10,FALSE),IF(E17='2. AWARDS'!H$7,((1+(R17/9))*(1+P17))*VLOOKUP(F17,'2. AWARDS'!$C$9:$O$35,11,FALSE),IF(E17='2. AWARDS'!I$7,((1+(R17/9))*(1+P17))*VLOOKUP(F17,'2. AWARDS'!$C$9:$O$35,12,FALSE),IF(E17='2. AWARDS'!J$7,((1+(R17/9))*(1+P17))*VLOOKUP(F17,'2. AWARDS'!$C$9:$O$35,13,FALSE)))))),"?")))))))))))</f>
        <v>0</v>
      </c>
      <c r="Z17" s="1093" t="e">
        <f>IF(AND(E17='2. AWARDS'!F10,O17&gt;N17,O17&gt;Q17,VLOOKUP(F17,'2. AWARDS'!$C$9:$O$35,9,FALSE)&lt;&gt;0),VLOOKUP(F17,'2. AWARDS'!$C$9:$O$35,9,FALSE)*(1+P17)*(1+(R17/9)),IF(AND(E17='2. AWARDS'!F10,O17&gt;N17,O17&gt;Q17,VLOOKUP(F17,'2. AWARDS'!$C$9:$O$35,9,FALSE)=0),X17*(1+P17)*(1+(R17/9)),IF(AND(E17='2. AWARDS'!G10,O17&gt;N17,O17&gt;Q17,VLOOKUP(F17,'2. AWARDS'!$C$9:$O$35,10,FALSE)&lt;&gt;0),VLOOKUP(F17,'2. AWARDS'!$C$9:$O$35,10,FALSE)*(1+P17)*(1+(R17/9)),IF(AND(E17='2. AWARDS'!G10,O17&gt;N17,O17&gt;Q17,VLOOKUP(F17,'2. AWARDS'!$C$9:$O$35,10,FALSE)=0),X17*(1+P17)*(1+(R17/9)),IF(AND(E17='2. AWARDS'!H10,O17&gt;N17,O17&gt;Q17,VLOOKUP(F17,'2. AWARDS'!$C$9:$O$35,11,FALSE)&lt;&gt;0),VLOOKUP(F17,'2. AWARDS'!$C$9:$O$35,11,FALSE)*(1+P17)*(1+(R17/9)),IF(AND(E17='2. AWARDS'!H10,O17&gt;N17,O17&gt;Q17,VLOOKUP(F17,'2. AWARDS'!$C$9:$O$35,11,FALSE)=0),X17*(1+P17)*(1+(R17/9)),IF(AND(E17='2. AWARDS'!I10,O17&gt;N17,O17&gt;Q17,VLOOKUP(F17,'2. AWARDS'!$C$9:$O$35,12,FALSE)&lt;&gt;0),VLOOKUP(F17,'2. AWARDS'!$C$9:$O$35,12,FALSE)*(1+P17)*(1+(R17/9)),IF(AND(E17='2. AWARDS'!I10,O17&gt;N17,O17&gt;Q17,VLOOKUP(F17,'2. AWARDS'!$C$9:$O$35,12,FALSE)=0),X17*(1+P17)*(1+(R17/9)),IF(AND(E17='2. AWARDS'!J10,O17&gt;N17,O17&gt;Q17,VLOOKUP(F17,'2. AWARDS'!$C$9:$O$35,13,FALSE)&lt;&gt;0),VLOOKUP(F17,'2. AWARDS'!$C$9:$O$35,13,FALSE)*(1+P17)*(1+(R17/9)),IF(AND(E17='2. AWARDS'!J10,O17&gt;N17,O17&gt;Q17,VLOOKUP(F17,'2. AWARDS'!$C$9:$O$35,13,FALSE)=0),X17*(1+P17)*(1+(R17/9)),IF(AND(O17&lt;N17,O17&gt;Q17),X17*(1+P17)*(1+(R17/9)),IF(AND(E17='2. AWARDS'!F10,O17=MAX(N17,Q17),VLOOKUP(F17,'2. AWARDS'!$C$9:$O$35,9,FALSE)&lt;&gt;0),VLOOKUP(F17,'2. AWARDS'!$C$9:$O$35,9,FALSE)*(1+P17)*(1+(R17/9)),IF(AND(E17='2. AWARDS'!F10,O17=MAX(N17,Q17),VLOOKUP(F17,'2. AWARDS'!$C$9:$O$35,9,FALSE)=0),X17*(1+P17)*(1+(R17/9)),IF(AND(E17='2. AWARDS'!G10,O17=MAX(N17,Q17),VLOOKUP(F17,'2. AWARDS'!$C$9:$O$35,10,FALSE)&lt;&gt;0),VLOOKUP(F17,'2. AWARDS'!$C$9:$O$35,10,FALSE)*(1+P17)*(1+(R17/9)),IF(AND(E17='2. AWARDS'!G10,O17=MAX(N17,Q17),VLOOKUP(F17,'2. AWARDS'!$C$9:$O$35,10,FALSE)=0),X17*(1+P17)*(1+(R17/9)),IF(AND(E17='2. AWARDS'!H10,O17=MAX(N17,Q17),VLOOKUP(F17,'2. AWARDS'!$C$9:$O$35,11,FALSE)&lt;&gt;0),VLOOKUP(F17,'2. AWARDS'!$C$9:$O$35,11,FALSE)*(1+P17)*(1+(R17/9)),IF(AND(E17='2. AWARDS'!H10,O17=MAX(N17,Q17),VLOOKUP(F17,'2. AWARDS'!$C$9:$O$35,11,FALSE)=0),X17*(1+P17)*(1+(R17/9)),IF(AND(E17='2. AWARDS'!I10,O17=MAX(N17,Q17),VLOOKUP(F17,'2. AWARDS'!$C$9:$O$35,12,FALSE)&lt;&gt;0),VLOOKUP(F17,'2. AWARDS'!$C$9:$O$35,12,FALSE)*(1+P17)*(1+(R17/9)),IF(AND(E17='2. AWARDS'!I10,O17=MAX(N17,Q17),VLOOKUP(F17,'2. AWARDS'!$C$9:$O$35,12,FALSE)=0),X17*(1+P17)*(1+(R17/9)),IF(AND(E17='2. AWARDS'!J10,O17=MAX(N17,Q17),VLOOKUP(F17,'2. AWARDS'!$C$9:$O$35,13,FALSE)&lt;&gt;0),VLOOKUP(F17,'2. AWARDS'!$C$9:$O$35,13,FALSE)*(1+P17)*(1+(R17/9)),IF(AND(E17='2. AWARDS'!J10,O17=MAX(N17,Q17),VLOOKUP(F17,'2. AWARDS'!$C$9:$O$35,13,FALSE)=0),X17*(1+P17)*(1+(R17/9)),IF(AND(O17&lt;N17,O17&lt;Q17),X17*(1+P17),IF(AND(O17=N17,N17&lt;Q17,E17='2. AWARDS'!F10),VLOOKUP(F17,'2. AWARDS'!$C$9:$O$35,9,FALSE)*(1+P17),IF(AND(O17=N17,N17&lt;Q17,E17='2. AWARDS'!G10),VLOOKUP(F17,'2. AWARDS'!$C$9:$O$35,10,FALSE)*(1+P17),IF(AND(O17=N17,N17&lt;Q17,E17='2. AWARDS'!H10),VLOOKUP(F17,'2. AWARDS'!$C$9:$O$35,11,FALSE)*(1+P17),IF(AND(O17=N17,N17&lt;Q17,E17='2. AWARDS'!I10),VLOOKUP(F17,'2. AWARDS'!$C$9:$O$35,12,FALSE)*(1+P17),IF(AND(O17=N17,N17&lt;Q17,E17='2. AWARDS'!J10),VLOOKUP(F17,'2. AWARDS'!$C$9:$O$35,13,FALSE)*(1+P17),IF(AND(O17=Q17,N17&gt;Q17),X17*(1+P17)*(1+(R17/9)),IF(AND(E17='2. AWARDS'!F10,O17&gt;N17,O17&lt;Q17,VLOOKUP(F17,'2. AWARDS'!$C$9:$O$35,9,FALSE)&lt;&gt;0),VLOOKUP(F17,'2. AWARDS'!$C$9:$O$35,9,FALSE)*(1+P17),IF(AND(E17='2. AWARDS'!G10,O17&gt;N17,O17&lt;Q17,VLOOKUP(F17,'2. AWARDS'!$C$9:$O$35,10,FALSE)&lt;&gt;0),VLOOKUP(F17,'2. AWARDS'!$C$9:$O$35,10,FALSE)*(1+P17),IF(AND(E17='2. AWARDS'!H10,O17&gt;N17,O17&lt;Q17,VLOOKUP(F17,'2. AWARDS'!$C$9:$O$35,11,FALSE)&lt;&gt;0),VLOOKUP(F17,'2. AWARDS'!$C$9:$O$35,11,FALSE)*(1+P17),IF(AND(E17='2. AWARDS'!I10,O17&gt;N17,O17&lt;Q17,VLOOKUP(F17,'2. AWARDS'!$C$9:$O$35,12,FALSE)&lt;&gt;0),VLOOKUP(F17,'2. AWARDS'!$C$9:$O$35,12,FALSE)*(1+P17),IF(AND(E17='2. AWARDS'!J10,O17&gt;N17,O17&lt;Q17,VLOOKUP(F17,'2. AWARDS'!$C$9:$O$35,13,FALSE)&lt;&gt;0),VLOOKUP(F17,'2. AWARDS'!$C$9:$O$35,13,FALSE)*(1+P17),X17*(1+P17))))))))))))))))))))))))))))))))))</f>
        <v>#N/A</v>
      </c>
      <c r="AA17" s="661" t="e">
        <f t="shared" si="19"/>
        <v>#N/A</v>
      </c>
      <c r="AB17" s="683"/>
      <c r="AC17" s="774"/>
      <c r="AD17" s="774"/>
      <c r="AE17" s="777"/>
      <c r="AF17" s="781">
        <f t="shared" si="20"/>
        <v>0</v>
      </c>
      <c r="AG17" s="781" t="e">
        <f>HLOOKUP(E17,'2. AWARDS'!$F$7:$J$40,32,FALSE)/5*HLOOKUP(E17,'2. AWARDS'!$F$7:$J$40,31,FALSE)*MAX(W17:AA17)*M17*HLOOKUP(E17,'2. AWARDS'!$F$7:$J$40,34,FALSE)*(L17/(38*2))</f>
        <v>#N/A</v>
      </c>
      <c r="AH17" s="783" t="e">
        <f>((HLOOKUP(E17,'2. AWARDS'!$F$7:$J$42,36,FALSE)/HLOOKUP(E17,'2. AWARDS'!$F$7:$J$42,35,FALSE)*HLOOKUP(E17,'2. AWARDS'!$F$7:$J$45,39,FALSE))/(HLOOKUP(E17,'2. AWARDS'!$F$7:$J$45,31,FALSE)*2)*L17*M17*HLOOKUP(E17,'2. AWARDS'!$F$7:$J$45,31,FALSE)*MAX(W17:AA17))</f>
        <v>#N/A</v>
      </c>
      <c r="AI17" s="474"/>
      <c r="AJ17" s="804"/>
      <c r="AK17" s="804"/>
      <c r="AL17" s="801"/>
      <c r="AM17" s="802"/>
      <c r="AN17" s="1012"/>
      <c r="AO17" s="836">
        <f>IF(AJ17="YES",HLOOKUP(E17,'2. AWARDS'!$F$7:$J$38,32,FALSE)/5*HLOOKUP(E17,'2. AWARDS'!$F$7:$J$37,31,FALSE)*L17/(HLOOKUP(E17,'2. AWARDS'!$F$7:$J$37,31,FALSE)*2)*M17*MAX(W17:AA17)*(1+HLOOKUP(E17,'2. AWARDS'!$F$7:$J$43,37,FALSE))*(1-AM17),0)</f>
        <v>0</v>
      </c>
      <c r="AP17" s="836">
        <f>IF(AK17="YES",HLOOKUP(E17,'2. AWARDS'!$F$7:$J$39,33,FALSE)/5*HLOOKUP(E17,'2. AWARDS'!$F$7:$J$37,31,FALSE)*L17/(HLOOKUP(E17,'2. AWARDS'!$F$7:$J$37,31,FALSE)*2)*M17*MAX(W17:AA17)*(1+HLOOKUP(E17,'2. AWARDS'!$F$7:$J$43,37,FALSE))*(1-AM17),0)</f>
        <v>0</v>
      </c>
      <c r="AQ17" s="838">
        <f>IF(AL17="YES",HLOOKUP(E17,'2. AWARDS'!$F$7:$J$47,40,FALSE)/5*HLOOKUP(E17,'2. AWARDS'!$F$7:$J$37,31,FALSE)*L17/(HLOOKUP(E17,'2. AWARDS'!$F$7:$J$37,31,FALSE)*2)*M17*MAX(W17:AA17)*(1+HLOOKUP(E17,'2. AWARDS'!$F$7:$J$43,37,FALSE))*(1-AM17),0)</f>
        <v>0</v>
      </c>
      <c r="AR17" s="839">
        <f>(IF(AJ17="YES",HLOOKUP(E17,'2. AWARDS'!$F$7:$J$39,32,FALSE),0)+IF(AK17="YES",HLOOKUP(E17,'2. AWARDS'!$F$7:$J$39,33,FALSE),0)+IF(AL17="YES",HLOOKUP(E17,'2. AWARDS'!$F$7:$J$47,40,FALSE),0))*L17/76*7.6*AM17*AN17*M17</f>
        <v>0</v>
      </c>
      <c r="AS17" s="683"/>
      <c r="AT17" s="802">
        <f>'1. KEY DATA'!J$29</f>
        <v>0</v>
      </c>
      <c r="AU17" s="822">
        <f>'1. KEY DATA'!J$30</f>
        <v>0.09</v>
      </c>
      <c r="AV17" s="502"/>
      <c r="AW17" s="899">
        <f t="shared" si="21"/>
        <v>0</v>
      </c>
      <c r="AX17" s="502"/>
      <c r="AY17" s="477"/>
      <c r="AZ17" s="233"/>
      <c r="BA17" s="233"/>
      <c r="BB17" s="233"/>
      <c r="BC17" s="233"/>
      <c r="BD17" s="233"/>
      <c r="BE17" s="233"/>
      <c r="BF17" s="233"/>
      <c r="BG17" s="233"/>
      <c r="BH17" s="233"/>
      <c r="BI17" s="1392"/>
      <c r="BJ17" s="1393"/>
      <c r="BK17" s="1393"/>
      <c r="BL17" s="1394"/>
      <c r="BM17" s="301">
        <f t="shared" si="22"/>
        <v>1</v>
      </c>
      <c r="BO17" s="244">
        <f t="shared" si="23"/>
        <v>0</v>
      </c>
      <c r="BP17" s="245">
        <f t="shared" si="24"/>
        <v>0</v>
      </c>
      <c r="BQ17" s="245">
        <f t="shared" si="25"/>
        <v>0</v>
      </c>
      <c r="BR17" s="245">
        <f t="shared" si="26"/>
        <v>0</v>
      </c>
      <c r="BS17" s="245">
        <f t="shared" si="27"/>
        <v>0</v>
      </c>
      <c r="BT17" s="245">
        <f t="shared" si="28"/>
        <v>0</v>
      </c>
      <c r="BU17" s="245">
        <f t="shared" si="29"/>
        <v>0</v>
      </c>
      <c r="BV17" s="245">
        <f t="shared" si="30"/>
        <v>0</v>
      </c>
      <c r="BW17" s="245">
        <f t="shared" si="31"/>
        <v>0</v>
      </c>
      <c r="BX17" s="246">
        <f t="shared" si="32"/>
        <v>0</v>
      </c>
      <c r="BY17" s="1380"/>
      <c r="BZ17" s="1381"/>
      <c r="CA17" s="1381"/>
      <c r="CB17" s="1382"/>
    </row>
    <row r="18" spans="1:80" ht="15.75" thickBot="1">
      <c r="A18">
        <f t="shared" si="0"/>
        <v>5</v>
      </c>
      <c r="B18" s="217"/>
      <c r="C18" s="214"/>
      <c r="D18" s="699">
        <f t="shared" si="33"/>
        <v>0</v>
      </c>
      <c r="E18" s="697"/>
      <c r="F18" s="900"/>
      <c r="G18" s="702"/>
      <c r="H18" s="693"/>
      <c r="I18" s="694"/>
      <c r="J18" s="1113"/>
      <c r="K18" s="1114"/>
      <c r="L18" s="1108"/>
      <c r="M18" s="689"/>
      <c r="N18" s="628"/>
      <c r="O18" s="628"/>
      <c r="P18" s="638">
        <f t="shared" si="34"/>
        <v>0.03</v>
      </c>
      <c r="Q18" s="797"/>
      <c r="R18" s="673" t="str">
        <f t="shared" si="17"/>
        <v>-</v>
      </c>
      <c r="S18" s="649"/>
      <c r="T18" s="647">
        <v>0</v>
      </c>
      <c r="U18" s="827"/>
      <c r="V18" s="669"/>
      <c r="W18" s="798">
        <f t="shared" si="18"/>
        <v>0</v>
      </c>
      <c r="X18" s="656">
        <f>IF(OR(E18=0,F18=0),0,IF(E18='2. AWARDS'!F$7,VLOOKUP(F18,'2. AWARDS'!$C$9:$F$35,4,FALSE),IF(E18='2. AWARDS'!G$7,VLOOKUP(F18,'2. AWARDS'!$C$9:$G$35,5,FALSE),IF(E18='2. AWARDS'!H$7,VLOOKUP(F18,'2. AWARDS'!$C$9:$H$35,6,FALSE),IF(E18='2. AWARDS'!I$7,VLOOKUP(F18,'2. AWARDS'!$C$9:$I$35,7,FALSE),VLOOKUP(F18,'2. AWARDS'!$C$9:$J$35,8,FALSE))))))</f>
        <v>0</v>
      </c>
      <c r="Y18" s="980">
        <f>IF(OR(E18=0,F18=0),0,IF(AND(N18=0,E18='2. AWARDS'!F$7,VLOOKUP(F18,'2. AWARDS'!$C$9:$O$35,9,FALSE)&lt;&gt;0),"date missing",IF(AND(N18=0,E18='2. AWARDS'!G$7,VLOOKUP(F18,'2. AWARDS'!$C$9:$O$35,10,FALSE)&lt;&gt;0),"date missing",IF(AND(N18=0,E18='2. AWARDS'!H$7,VLOOKUP(F18,'2. AWARDS'!$C$9:$O$35,11,FALSE)&lt;&gt;0),"date missing",IF(AND(N18=0,E18='2. AWARDS'!I$7,VLOOKUP(F18,'2. AWARDS'!$C$9:$O$35,12,FALSE)&lt;&gt;0),"date missing",IF(AND(N18=0,E18='2. AWARDS'!J$7,VLOOKUP(F18,'2. AWARDS'!$C$9:$O$35,13,FALSE)&lt;&gt;0),"date missing",IF(N18=0,0,IF(OR(N18=MIN(O18,Q18),AND(N18&lt;O18,N18&lt;Q18,N18&gt;0)),IF(E18='2. AWARDS'!F$7,VLOOKUP(F18,'2. AWARDS'!$C$9:$O$35,9,FALSE),IF(E18='2. AWARDS'!G$7,VLOOKUP(F18,'2. AWARDS'!$C$9:$O$35,10,FALSE),IF(E18='2. AWARDS'!H$7,VLOOKUP(F18,'2. AWARDS'!$C$9:$O$35,11,FALSE),IF(E18='2. AWARDS'!I$7,VLOOKUP(F18,'2. AWARDS'!$C$9:$O$35,12,FALSE),IF(E18='2. AWARDS'!J$7,VLOOKUP(F18,'2. AWARDS'!$C$9:$O$35,13,FALSE)))))),IF(AND(N18&gt;O18,N18&lt;Q18),IF(E18='2. AWARDS'!F$7,(1+P18)*VLOOKUP(F18,'2. AWARDS'!$C$9:$O$35,9,FALSE),IF(E18='2. AWARDS'!G$7,(1+P18)*VLOOKUP(F18,'2. AWARDS'!$C$9:$O$35,10,FALSE),IF(E18='2. AWARDS'!H$7,(1+P18)*VLOOKUP(F18,'2. AWARDS'!$C$9:$O$35,11,FALSE),IF(E18='2. AWARDS'!I$7,(1+P18)*VLOOKUP(F18,'2. AWARDS'!$C$9:$O$35,12,FALSE),IF(E18='2. AWARDS'!J$7,(1+P18)*VLOOKUP(F18,'2. AWARDS'!$C$9:$O$35,13,FALSE)))))),IF(AND(N18&lt;O18,N18&gt;Q18),IF(E18='2. AWARDS'!F$7,(1+(R18/9))*VLOOKUP(F18,'2. AWARDS'!$C$9:$O$35,9,FALSE),IF(E18='2. AWARDS'!G$7,(1+(R18/9))*VLOOKUP(F18,'2. AWARDS'!$C$9:$O$35,10,FALSE),IF(E18='2. AWARDS'!H$7,(1+(R18/9))*VLOOKUP(F18,'2. AWARDS'!$C$9:$O$35,11,FALSE),IF(E18='2. AWARDS'!I$7,(1+(R18/9))*VLOOKUP(F18,'2. AWARDS'!$C$9:$O$35,12,FALSE),IF(E18='2. AWARDS'!J$7,(1+(R18/9))*VLOOKUP(F18,'2. AWARDS'!$C$9:$O$35,13,FALSE)))))),IF(OR(N18=MAX(O18,Q18),AND(N18&gt;O18,N18&gt;Q18)),IF(E18='2. AWARDS'!F$7,((1+(R18/9))*(1+P18))*VLOOKUP(F18,'2. AWARDS'!$C$9:$O$35,9,FALSE),IF(E18='2. AWARDS'!G$7,((1+(R18/9))*(1+P18))*VLOOKUP(F18,'2. AWARDS'!$C$9:$O$35,10,FALSE),IF(E18='2. AWARDS'!H$7,((1+(R18/9))*(1+P18))*VLOOKUP(F18,'2. AWARDS'!$C$9:$O$35,11,FALSE),IF(E18='2. AWARDS'!I$7,((1+(R18/9))*(1+P18))*VLOOKUP(F18,'2. AWARDS'!$C$9:$O$35,12,FALSE),IF(E18='2. AWARDS'!J$7,((1+(R18/9))*(1+P18))*VLOOKUP(F18,'2. AWARDS'!$C$9:$O$35,13,FALSE)))))),"?")))))))))))</f>
        <v>0</v>
      </c>
      <c r="Z18" s="1093" t="e">
        <f>IF(AND(E18='2. AWARDS'!F11,O18&gt;N18,O18&gt;Q18,VLOOKUP(F18,'2. AWARDS'!$C$9:$O$35,9,FALSE)&lt;&gt;0),VLOOKUP(F18,'2. AWARDS'!$C$9:$O$35,9,FALSE)*(1+P18)*(1+(R18/9)),IF(AND(E18='2. AWARDS'!F11,O18&gt;N18,O18&gt;Q18,VLOOKUP(F18,'2. AWARDS'!$C$9:$O$35,9,FALSE)=0),X18*(1+P18)*(1+(R18/9)),IF(AND(E18='2. AWARDS'!G11,O18&gt;N18,O18&gt;Q18,VLOOKUP(F18,'2. AWARDS'!$C$9:$O$35,10,FALSE)&lt;&gt;0),VLOOKUP(F18,'2. AWARDS'!$C$9:$O$35,10,FALSE)*(1+P18)*(1+(R18/9)),IF(AND(E18='2. AWARDS'!G11,O18&gt;N18,O18&gt;Q18,VLOOKUP(F18,'2. AWARDS'!$C$9:$O$35,10,FALSE)=0),X18*(1+P18)*(1+(R18/9)),IF(AND(E18='2. AWARDS'!H11,O18&gt;N18,O18&gt;Q18,VLOOKUP(F18,'2. AWARDS'!$C$9:$O$35,11,FALSE)&lt;&gt;0),VLOOKUP(F18,'2. AWARDS'!$C$9:$O$35,11,FALSE)*(1+P18)*(1+(R18/9)),IF(AND(E18='2. AWARDS'!H11,O18&gt;N18,O18&gt;Q18,VLOOKUP(F18,'2. AWARDS'!$C$9:$O$35,11,FALSE)=0),X18*(1+P18)*(1+(R18/9)),IF(AND(E18='2. AWARDS'!I11,O18&gt;N18,O18&gt;Q18,VLOOKUP(F18,'2. AWARDS'!$C$9:$O$35,12,FALSE)&lt;&gt;0),VLOOKUP(F18,'2. AWARDS'!$C$9:$O$35,12,FALSE)*(1+P18)*(1+(R18/9)),IF(AND(E18='2. AWARDS'!I11,O18&gt;N18,O18&gt;Q18,VLOOKUP(F18,'2. AWARDS'!$C$9:$O$35,12,FALSE)=0),X18*(1+P18)*(1+(R18/9)),IF(AND(E18='2. AWARDS'!J11,O18&gt;N18,O18&gt;Q18,VLOOKUP(F18,'2. AWARDS'!$C$9:$O$35,13,FALSE)&lt;&gt;0),VLOOKUP(F18,'2. AWARDS'!$C$9:$O$35,13,FALSE)*(1+P18)*(1+(R18/9)),IF(AND(E18='2. AWARDS'!J11,O18&gt;N18,O18&gt;Q18,VLOOKUP(F18,'2. AWARDS'!$C$9:$O$35,13,FALSE)=0),X18*(1+P18)*(1+(R18/9)),IF(AND(O18&lt;N18,O18&gt;Q18),X18*(1+P18)*(1+(R18/9)),IF(AND(E18='2. AWARDS'!F11,O18=MAX(N18,Q18),VLOOKUP(F18,'2. AWARDS'!$C$9:$O$35,9,FALSE)&lt;&gt;0),VLOOKUP(F18,'2. AWARDS'!$C$9:$O$35,9,FALSE)*(1+P18)*(1+(R18/9)),IF(AND(E18='2. AWARDS'!F11,O18=MAX(N18,Q18),VLOOKUP(F18,'2. AWARDS'!$C$9:$O$35,9,FALSE)=0),X18*(1+P18)*(1+(R18/9)),IF(AND(E18='2. AWARDS'!G11,O18=MAX(N18,Q18),VLOOKUP(F18,'2. AWARDS'!$C$9:$O$35,10,FALSE)&lt;&gt;0),VLOOKUP(F18,'2. AWARDS'!$C$9:$O$35,10,FALSE)*(1+P18)*(1+(R18/9)),IF(AND(E18='2. AWARDS'!G11,O18=MAX(N18,Q18),VLOOKUP(F18,'2. AWARDS'!$C$9:$O$35,10,FALSE)=0),X18*(1+P18)*(1+(R18/9)),IF(AND(E18='2. AWARDS'!H11,O18=MAX(N18,Q18),VLOOKUP(F18,'2. AWARDS'!$C$9:$O$35,11,FALSE)&lt;&gt;0),VLOOKUP(F18,'2. AWARDS'!$C$9:$O$35,11,FALSE)*(1+P18)*(1+(R18/9)),IF(AND(E18='2. AWARDS'!H11,O18=MAX(N18,Q18),VLOOKUP(F18,'2. AWARDS'!$C$9:$O$35,11,FALSE)=0),X18*(1+P18)*(1+(R18/9)),IF(AND(E18='2. AWARDS'!I11,O18=MAX(N18,Q18),VLOOKUP(F18,'2. AWARDS'!$C$9:$O$35,12,FALSE)&lt;&gt;0),VLOOKUP(F18,'2. AWARDS'!$C$9:$O$35,12,FALSE)*(1+P18)*(1+(R18/9)),IF(AND(E18='2. AWARDS'!I11,O18=MAX(N18,Q18),VLOOKUP(F18,'2. AWARDS'!$C$9:$O$35,12,FALSE)=0),X18*(1+P18)*(1+(R18/9)),IF(AND(E18='2. AWARDS'!J11,O18=MAX(N18,Q18),VLOOKUP(F18,'2. AWARDS'!$C$9:$O$35,13,FALSE)&lt;&gt;0),VLOOKUP(F18,'2. AWARDS'!$C$9:$O$35,13,FALSE)*(1+P18)*(1+(R18/9)),IF(AND(E18='2. AWARDS'!J11,O18=MAX(N18,Q18),VLOOKUP(F18,'2. AWARDS'!$C$9:$O$35,13,FALSE)=0),X18*(1+P18)*(1+(R18/9)),IF(AND(O18&lt;N18,O18&lt;Q18),X18*(1+P18),IF(AND(O18=N18,N18&lt;Q18,E18='2. AWARDS'!F11),VLOOKUP(F18,'2. AWARDS'!$C$9:$O$35,9,FALSE)*(1+P18),IF(AND(O18=N18,N18&lt;Q18,E18='2. AWARDS'!G11),VLOOKUP(F18,'2. AWARDS'!$C$9:$O$35,10,FALSE)*(1+P18),IF(AND(O18=N18,N18&lt;Q18,E18='2. AWARDS'!H11),VLOOKUP(F18,'2. AWARDS'!$C$9:$O$35,11,FALSE)*(1+P18),IF(AND(O18=N18,N18&lt;Q18,E18='2. AWARDS'!I11),VLOOKUP(F18,'2. AWARDS'!$C$9:$O$35,12,FALSE)*(1+P18),IF(AND(O18=N18,N18&lt;Q18,E18='2. AWARDS'!J11),VLOOKUP(F18,'2. AWARDS'!$C$9:$O$35,13,FALSE)*(1+P18),IF(AND(O18=Q18,N18&gt;Q18),X18*(1+P18)*(1+(R18/9)),IF(AND(E18='2. AWARDS'!F11,O18&gt;N18,O18&lt;Q18,VLOOKUP(F18,'2. AWARDS'!$C$9:$O$35,9,FALSE)&lt;&gt;0),VLOOKUP(F18,'2. AWARDS'!$C$9:$O$35,9,FALSE)*(1+P18),IF(AND(E18='2. AWARDS'!G11,O18&gt;N18,O18&lt;Q18,VLOOKUP(F18,'2. AWARDS'!$C$9:$O$35,10,FALSE)&lt;&gt;0),VLOOKUP(F18,'2. AWARDS'!$C$9:$O$35,10,FALSE)*(1+P18),IF(AND(E18='2. AWARDS'!H11,O18&gt;N18,O18&lt;Q18,VLOOKUP(F18,'2. AWARDS'!$C$9:$O$35,11,FALSE)&lt;&gt;0),VLOOKUP(F18,'2. AWARDS'!$C$9:$O$35,11,FALSE)*(1+P18),IF(AND(E18='2. AWARDS'!I11,O18&gt;N18,O18&lt;Q18,VLOOKUP(F18,'2. AWARDS'!$C$9:$O$35,12,FALSE)&lt;&gt;0),VLOOKUP(F18,'2. AWARDS'!$C$9:$O$35,12,FALSE)*(1+P18),IF(AND(E18='2. AWARDS'!J11,O18&gt;N18,O18&lt;Q18,VLOOKUP(F18,'2. AWARDS'!$C$9:$O$35,13,FALSE)&lt;&gt;0),VLOOKUP(F18,'2. AWARDS'!$C$9:$O$35,13,FALSE)*(1+P18),X18*(1+P18))))))))))))))))))))))))))))))))))</f>
        <v>#N/A</v>
      </c>
      <c r="AA18" s="661" t="e">
        <f t="shared" si="19"/>
        <v>#N/A</v>
      </c>
      <c r="AB18" s="683"/>
      <c r="AC18" s="774"/>
      <c r="AD18" s="774"/>
      <c r="AE18" s="777"/>
      <c r="AF18" s="781">
        <f t="shared" si="20"/>
        <v>0</v>
      </c>
      <c r="AG18" s="781" t="e">
        <f>HLOOKUP(E18,'2. AWARDS'!$F$7:$J$40,32,FALSE)/5*HLOOKUP(E18,'2. AWARDS'!$F$7:$J$40,31,FALSE)*MAX(W18:AA18)*M18*HLOOKUP(E18,'2. AWARDS'!$F$7:$J$40,34,FALSE)*(L18/(38*2))</f>
        <v>#N/A</v>
      </c>
      <c r="AH18" s="783" t="e">
        <f>((HLOOKUP(E18,'2. AWARDS'!$F$7:$J$42,36,FALSE)/HLOOKUP(E18,'2. AWARDS'!$F$7:$J$42,35,FALSE)*HLOOKUP(E18,'2. AWARDS'!$F$7:$J$45,39,FALSE))/(HLOOKUP(E18,'2. AWARDS'!$F$7:$J$45,31,FALSE)*2)*L18*M18*HLOOKUP(E18,'2. AWARDS'!$F$7:$J$45,31,FALSE)*MAX(W18:AA18))</f>
        <v>#N/A</v>
      </c>
      <c r="AI18" s="474"/>
      <c r="AJ18" s="804"/>
      <c r="AK18" s="804"/>
      <c r="AL18" s="801"/>
      <c r="AM18" s="802"/>
      <c r="AN18" s="1012"/>
      <c r="AO18" s="836">
        <f>IF(AJ18="YES",HLOOKUP(E18,'2. AWARDS'!$F$7:$J$38,32,FALSE)/5*HLOOKUP(E18,'2. AWARDS'!$F$7:$J$37,31,FALSE)*L18/(HLOOKUP(E18,'2. AWARDS'!$F$7:$J$37,31,FALSE)*2)*M18*MAX(W18:AA18)*(1+HLOOKUP(E18,'2. AWARDS'!$F$7:$J$43,37,FALSE))*(1-AM18),0)</f>
        <v>0</v>
      </c>
      <c r="AP18" s="836">
        <f>IF(AK18="YES",HLOOKUP(E18,'2. AWARDS'!$F$7:$J$39,33,FALSE)/5*HLOOKUP(E18,'2. AWARDS'!$F$7:$J$37,31,FALSE)*L18/(HLOOKUP(E18,'2. AWARDS'!$F$7:$J$37,31,FALSE)*2)*M18*MAX(W18:AA18)*(1+HLOOKUP(E18,'2. AWARDS'!$F$7:$J$43,37,FALSE))*(1-AM18),0)</f>
        <v>0</v>
      </c>
      <c r="AQ18" s="838">
        <f>IF(AL18="YES",HLOOKUP(E18,'2. AWARDS'!$F$7:$J$47,40,FALSE)/5*HLOOKUP(E18,'2. AWARDS'!$F$7:$J$37,31,FALSE)*L18/(HLOOKUP(E18,'2. AWARDS'!$F$7:$J$37,31,FALSE)*2)*M18*MAX(W18:AA18)*(1+HLOOKUP(E18,'2. AWARDS'!$F$7:$J$43,37,FALSE))*(1-AM18),0)</f>
        <v>0</v>
      </c>
      <c r="AR18" s="839">
        <f>(IF(AJ18="YES",HLOOKUP(E18,'2. AWARDS'!$F$7:$J$39,32,FALSE),0)+IF(AK18="YES",HLOOKUP(E18,'2. AWARDS'!$F$7:$J$39,33,FALSE),0)+IF(AL18="YES",HLOOKUP(E18,'2. AWARDS'!$F$7:$J$47,40,FALSE),0))*L18/76*7.6*AM18*AN18*M18</f>
        <v>0</v>
      </c>
      <c r="AS18" s="683"/>
      <c r="AT18" s="802">
        <f>'1. KEY DATA'!J$29</f>
        <v>0</v>
      </c>
      <c r="AU18" s="822">
        <f>'1. KEY DATA'!J$30</f>
        <v>0.09</v>
      </c>
      <c r="AV18" s="502"/>
      <c r="AW18" s="899">
        <f t="shared" si="21"/>
        <v>0</v>
      </c>
      <c r="AX18" s="502"/>
      <c r="AY18" s="477"/>
      <c r="AZ18" s="233"/>
      <c r="BA18" s="233"/>
      <c r="BB18" s="233"/>
      <c r="BC18" s="233"/>
      <c r="BD18" s="233"/>
      <c r="BE18" s="233"/>
      <c r="BF18" s="233"/>
      <c r="BG18" s="233"/>
      <c r="BH18" s="233"/>
      <c r="BI18" s="1392"/>
      <c r="BJ18" s="1393"/>
      <c r="BK18" s="1393"/>
      <c r="BL18" s="1394"/>
      <c r="BM18" s="301">
        <f t="shared" si="22"/>
        <v>1</v>
      </c>
      <c r="BO18" s="244">
        <f t="shared" si="23"/>
        <v>0</v>
      </c>
      <c r="BP18" s="245">
        <f t="shared" si="24"/>
        <v>0</v>
      </c>
      <c r="BQ18" s="245">
        <f t="shared" si="25"/>
        <v>0</v>
      </c>
      <c r="BR18" s="245">
        <f t="shared" si="26"/>
        <v>0</v>
      </c>
      <c r="BS18" s="245">
        <f t="shared" si="27"/>
        <v>0</v>
      </c>
      <c r="BT18" s="245">
        <f t="shared" si="28"/>
        <v>0</v>
      </c>
      <c r="BU18" s="245">
        <f t="shared" si="29"/>
        <v>0</v>
      </c>
      <c r="BV18" s="245">
        <f t="shared" si="30"/>
        <v>0</v>
      </c>
      <c r="BW18" s="245">
        <f t="shared" si="31"/>
        <v>0</v>
      </c>
      <c r="BX18" s="246">
        <f t="shared" si="32"/>
        <v>0</v>
      </c>
      <c r="BY18" s="1380"/>
      <c r="BZ18" s="1381"/>
      <c r="CA18" s="1381"/>
      <c r="CB18" s="1382"/>
    </row>
    <row r="19" spans="1:80" ht="15.75" thickBot="1">
      <c r="A19">
        <f t="shared" si="0"/>
        <v>6</v>
      </c>
      <c r="B19" s="217"/>
      <c r="C19" s="214"/>
      <c r="D19" s="699">
        <f t="shared" si="33"/>
        <v>0</v>
      </c>
      <c r="E19" s="697"/>
      <c r="F19" s="900"/>
      <c r="G19" s="701"/>
      <c r="H19" s="693"/>
      <c r="I19" s="694"/>
      <c r="J19" s="1113"/>
      <c r="K19" s="1114"/>
      <c r="L19" s="1108"/>
      <c r="M19" s="689"/>
      <c r="N19" s="628"/>
      <c r="O19" s="628"/>
      <c r="P19" s="638">
        <f t="shared" si="34"/>
        <v>0.03</v>
      </c>
      <c r="Q19" s="797"/>
      <c r="R19" s="673" t="str">
        <f t="shared" si="17"/>
        <v>-</v>
      </c>
      <c r="S19" s="649"/>
      <c r="T19" s="647">
        <v>0</v>
      </c>
      <c r="U19" s="827"/>
      <c r="V19" s="669"/>
      <c r="W19" s="798">
        <f t="shared" si="18"/>
        <v>0</v>
      </c>
      <c r="X19" s="656">
        <f>IF(OR(E19=0,F19=0),0,IF(E19='2. AWARDS'!F$7,VLOOKUP(F19,'2. AWARDS'!$C$9:$F$35,4,FALSE),IF(E19='2. AWARDS'!G$7,VLOOKUP(F19,'2. AWARDS'!$C$9:$G$35,5,FALSE),IF(E19='2. AWARDS'!H$7,VLOOKUP(F19,'2. AWARDS'!$C$9:$H$35,6,FALSE),IF(E19='2. AWARDS'!I$7,VLOOKUP(F19,'2. AWARDS'!$C$9:$I$35,7,FALSE),VLOOKUP(F19,'2. AWARDS'!$C$9:$J$35,8,FALSE))))))</f>
        <v>0</v>
      </c>
      <c r="Y19" s="980">
        <f>IF(OR(E19=0,F19=0),0,IF(AND(N19=0,E19='2. AWARDS'!F$7,VLOOKUP(F19,'2. AWARDS'!$C$9:$O$35,9,FALSE)&lt;&gt;0),"date missing",IF(AND(N19=0,E19='2. AWARDS'!G$7,VLOOKUP(F19,'2. AWARDS'!$C$9:$O$35,10,FALSE)&lt;&gt;0),"date missing",IF(AND(N19=0,E19='2. AWARDS'!H$7,VLOOKUP(F19,'2. AWARDS'!$C$9:$O$35,11,FALSE)&lt;&gt;0),"date missing",IF(AND(N19=0,E19='2. AWARDS'!I$7,VLOOKUP(F19,'2. AWARDS'!$C$9:$O$35,12,FALSE)&lt;&gt;0),"date missing",IF(AND(N19=0,E19='2. AWARDS'!J$7,VLOOKUP(F19,'2. AWARDS'!$C$9:$O$35,13,FALSE)&lt;&gt;0),"date missing",IF(N19=0,0,IF(OR(N19=MIN(O19,Q19),AND(N19&lt;O19,N19&lt;Q19,N19&gt;0)),IF(E19='2. AWARDS'!F$7,VLOOKUP(F19,'2. AWARDS'!$C$9:$O$35,9,FALSE),IF(E19='2. AWARDS'!G$7,VLOOKUP(F19,'2. AWARDS'!$C$9:$O$35,10,FALSE),IF(E19='2. AWARDS'!H$7,VLOOKUP(F19,'2. AWARDS'!$C$9:$O$35,11,FALSE),IF(E19='2. AWARDS'!I$7,VLOOKUP(F19,'2. AWARDS'!$C$9:$O$35,12,FALSE),IF(E19='2. AWARDS'!J$7,VLOOKUP(F19,'2. AWARDS'!$C$9:$O$35,13,FALSE)))))),IF(AND(N19&gt;O19,N19&lt;Q19),IF(E19='2. AWARDS'!F$7,(1+P19)*VLOOKUP(F19,'2. AWARDS'!$C$9:$O$35,9,FALSE),IF(E19='2. AWARDS'!G$7,(1+P19)*VLOOKUP(F19,'2. AWARDS'!$C$9:$O$35,10,FALSE),IF(E19='2. AWARDS'!H$7,(1+P19)*VLOOKUP(F19,'2. AWARDS'!$C$9:$O$35,11,FALSE),IF(E19='2. AWARDS'!I$7,(1+P19)*VLOOKUP(F19,'2. AWARDS'!$C$9:$O$35,12,FALSE),IF(E19='2. AWARDS'!J$7,(1+P19)*VLOOKUP(F19,'2. AWARDS'!$C$9:$O$35,13,FALSE)))))),IF(AND(N19&lt;O19,N19&gt;Q19),IF(E19='2. AWARDS'!F$7,(1+(R19/9))*VLOOKUP(F19,'2. AWARDS'!$C$9:$O$35,9,FALSE),IF(E19='2. AWARDS'!G$7,(1+(R19/9))*VLOOKUP(F19,'2. AWARDS'!$C$9:$O$35,10,FALSE),IF(E19='2. AWARDS'!H$7,(1+(R19/9))*VLOOKUP(F19,'2. AWARDS'!$C$9:$O$35,11,FALSE),IF(E19='2. AWARDS'!I$7,(1+(R19/9))*VLOOKUP(F19,'2. AWARDS'!$C$9:$O$35,12,FALSE),IF(E19='2. AWARDS'!J$7,(1+(R19/9))*VLOOKUP(F19,'2. AWARDS'!$C$9:$O$35,13,FALSE)))))),IF(OR(N19=MAX(O19,Q19),AND(N19&gt;O19,N19&gt;Q19)),IF(E19='2. AWARDS'!F$7,((1+(R19/9))*(1+P19))*VLOOKUP(F19,'2. AWARDS'!$C$9:$O$35,9,FALSE),IF(E19='2. AWARDS'!G$7,((1+(R19/9))*(1+P19))*VLOOKUP(F19,'2. AWARDS'!$C$9:$O$35,10,FALSE),IF(E19='2. AWARDS'!H$7,((1+(R19/9))*(1+P19))*VLOOKUP(F19,'2. AWARDS'!$C$9:$O$35,11,FALSE),IF(E19='2. AWARDS'!I$7,((1+(R19/9))*(1+P19))*VLOOKUP(F19,'2. AWARDS'!$C$9:$O$35,12,FALSE),IF(E19='2. AWARDS'!J$7,((1+(R19/9))*(1+P19))*VLOOKUP(F19,'2. AWARDS'!$C$9:$O$35,13,FALSE)))))),"?")))))))))))</f>
        <v>0</v>
      </c>
      <c r="Z19" s="1093" t="e">
        <f>IF(AND(E19='2. AWARDS'!F12,O19&gt;N19,O19&gt;Q19,VLOOKUP(F19,'2. AWARDS'!$C$9:$O$35,9,FALSE)&lt;&gt;0),VLOOKUP(F19,'2. AWARDS'!$C$9:$O$35,9,FALSE)*(1+P19)*(1+(R19/9)),IF(AND(E19='2. AWARDS'!F12,O19&gt;N19,O19&gt;Q19,VLOOKUP(F19,'2. AWARDS'!$C$9:$O$35,9,FALSE)=0),X19*(1+P19)*(1+(R19/9)),IF(AND(E19='2. AWARDS'!G12,O19&gt;N19,O19&gt;Q19,VLOOKUP(F19,'2. AWARDS'!$C$9:$O$35,10,FALSE)&lt;&gt;0),VLOOKUP(F19,'2. AWARDS'!$C$9:$O$35,10,FALSE)*(1+P19)*(1+(R19/9)),IF(AND(E19='2. AWARDS'!G12,O19&gt;N19,O19&gt;Q19,VLOOKUP(F19,'2. AWARDS'!$C$9:$O$35,10,FALSE)=0),X19*(1+P19)*(1+(R19/9)),IF(AND(E19='2. AWARDS'!H12,O19&gt;N19,O19&gt;Q19,VLOOKUP(F19,'2. AWARDS'!$C$9:$O$35,11,FALSE)&lt;&gt;0),VLOOKUP(F19,'2. AWARDS'!$C$9:$O$35,11,FALSE)*(1+P19)*(1+(R19/9)),IF(AND(E19='2. AWARDS'!H12,O19&gt;N19,O19&gt;Q19,VLOOKUP(F19,'2. AWARDS'!$C$9:$O$35,11,FALSE)=0),X19*(1+P19)*(1+(R19/9)),IF(AND(E19='2. AWARDS'!I12,O19&gt;N19,O19&gt;Q19,VLOOKUP(F19,'2. AWARDS'!$C$9:$O$35,12,FALSE)&lt;&gt;0),VLOOKUP(F19,'2. AWARDS'!$C$9:$O$35,12,FALSE)*(1+P19)*(1+(R19/9)),IF(AND(E19='2. AWARDS'!I12,O19&gt;N19,O19&gt;Q19,VLOOKUP(F19,'2. AWARDS'!$C$9:$O$35,12,FALSE)=0),X19*(1+P19)*(1+(R19/9)),IF(AND(E19='2. AWARDS'!J12,O19&gt;N19,O19&gt;Q19,VLOOKUP(F19,'2. AWARDS'!$C$9:$O$35,13,FALSE)&lt;&gt;0),VLOOKUP(F19,'2. AWARDS'!$C$9:$O$35,13,FALSE)*(1+P19)*(1+(R19/9)),IF(AND(E19='2. AWARDS'!J12,O19&gt;N19,O19&gt;Q19,VLOOKUP(F19,'2. AWARDS'!$C$9:$O$35,13,FALSE)=0),X19*(1+P19)*(1+(R19/9)),IF(AND(O19&lt;N19,O19&gt;Q19),X19*(1+P19)*(1+(R19/9)),IF(AND(E19='2. AWARDS'!F12,O19=MAX(N19,Q19),VLOOKUP(F19,'2. AWARDS'!$C$9:$O$35,9,FALSE)&lt;&gt;0),VLOOKUP(F19,'2. AWARDS'!$C$9:$O$35,9,FALSE)*(1+P19)*(1+(R19/9)),IF(AND(E19='2. AWARDS'!F12,O19=MAX(N19,Q19),VLOOKUP(F19,'2. AWARDS'!$C$9:$O$35,9,FALSE)=0),X19*(1+P19)*(1+(R19/9)),IF(AND(E19='2. AWARDS'!G12,O19=MAX(N19,Q19),VLOOKUP(F19,'2. AWARDS'!$C$9:$O$35,10,FALSE)&lt;&gt;0),VLOOKUP(F19,'2. AWARDS'!$C$9:$O$35,10,FALSE)*(1+P19)*(1+(R19/9)),IF(AND(E19='2. AWARDS'!G12,O19=MAX(N19,Q19),VLOOKUP(F19,'2. AWARDS'!$C$9:$O$35,10,FALSE)=0),X19*(1+P19)*(1+(R19/9)),IF(AND(E19='2. AWARDS'!H12,O19=MAX(N19,Q19),VLOOKUP(F19,'2. AWARDS'!$C$9:$O$35,11,FALSE)&lt;&gt;0),VLOOKUP(F19,'2. AWARDS'!$C$9:$O$35,11,FALSE)*(1+P19)*(1+(R19/9)),IF(AND(E19='2. AWARDS'!H12,O19=MAX(N19,Q19),VLOOKUP(F19,'2. AWARDS'!$C$9:$O$35,11,FALSE)=0),X19*(1+P19)*(1+(R19/9)),IF(AND(E19='2. AWARDS'!I12,O19=MAX(N19,Q19),VLOOKUP(F19,'2. AWARDS'!$C$9:$O$35,12,FALSE)&lt;&gt;0),VLOOKUP(F19,'2. AWARDS'!$C$9:$O$35,12,FALSE)*(1+P19)*(1+(R19/9)),IF(AND(E19='2. AWARDS'!I12,O19=MAX(N19,Q19),VLOOKUP(F19,'2. AWARDS'!$C$9:$O$35,12,FALSE)=0),X19*(1+P19)*(1+(R19/9)),IF(AND(E19='2. AWARDS'!J12,O19=MAX(N19,Q19),VLOOKUP(F19,'2. AWARDS'!$C$9:$O$35,13,FALSE)&lt;&gt;0),VLOOKUP(F19,'2. AWARDS'!$C$9:$O$35,13,FALSE)*(1+P19)*(1+(R19/9)),IF(AND(E19='2. AWARDS'!J12,O19=MAX(N19,Q19),VLOOKUP(F19,'2. AWARDS'!$C$9:$O$35,13,FALSE)=0),X19*(1+P19)*(1+(R19/9)),IF(AND(O19&lt;N19,O19&lt;Q19),X19*(1+P19),IF(AND(O19=N19,N19&lt;Q19,E19='2. AWARDS'!F12),VLOOKUP(F19,'2. AWARDS'!$C$9:$O$35,9,FALSE)*(1+P19),IF(AND(O19=N19,N19&lt;Q19,E19='2. AWARDS'!G12),VLOOKUP(F19,'2. AWARDS'!$C$9:$O$35,10,FALSE)*(1+P19),IF(AND(O19=N19,N19&lt;Q19,E19='2. AWARDS'!H12),VLOOKUP(F19,'2. AWARDS'!$C$9:$O$35,11,FALSE)*(1+P19),IF(AND(O19=N19,N19&lt;Q19,E19='2. AWARDS'!I12),VLOOKUP(F19,'2. AWARDS'!$C$9:$O$35,12,FALSE)*(1+P19),IF(AND(O19=N19,N19&lt;Q19,E19='2. AWARDS'!J12),VLOOKUP(F19,'2. AWARDS'!$C$9:$O$35,13,FALSE)*(1+P19),IF(AND(O19=Q19,N19&gt;Q19),X19*(1+P19)*(1+(R19/9)),IF(AND(E19='2. AWARDS'!F12,O19&gt;N19,O19&lt;Q19,VLOOKUP(F19,'2. AWARDS'!$C$9:$O$35,9,FALSE)&lt;&gt;0),VLOOKUP(F19,'2. AWARDS'!$C$9:$O$35,9,FALSE)*(1+P19),IF(AND(E19='2. AWARDS'!G12,O19&gt;N19,O19&lt;Q19,VLOOKUP(F19,'2. AWARDS'!$C$9:$O$35,10,FALSE)&lt;&gt;0),VLOOKUP(F19,'2. AWARDS'!$C$9:$O$35,10,FALSE)*(1+P19),IF(AND(E19='2. AWARDS'!H12,O19&gt;N19,O19&lt;Q19,VLOOKUP(F19,'2. AWARDS'!$C$9:$O$35,11,FALSE)&lt;&gt;0),VLOOKUP(F19,'2. AWARDS'!$C$9:$O$35,11,FALSE)*(1+P19),IF(AND(E19='2. AWARDS'!I12,O19&gt;N19,O19&lt;Q19,VLOOKUP(F19,'2. AWARDS'!$C$9:$O$35,12,FALSE)&lt;&gt;0),VLOOKUP(F19,'2. AWARDS'!$C$9:$O$35,12,FALSE)*(1+P19),IF(AND(E19='2. AWARDS'!J12,O19&gt;N19,O19&lt;Q19,VLOOKUP(F19,'2. AWARDS'!$C$9:$O$35,13,FALSE)&lt;&gt;0),VLOOKUP(F19,'2. AWARDS'!$C$9:$O$35,13,FALSE)*(1+P19),X19*(1+P19))))))))))))))))))))))))))))))))))</f>
        <v>#N/A</v>
      </c>
      <c r="AA19" s="661" t="e">
        <f>IF(OR(Q19=MAX(N19,O19),AND(Q19&gt;O19,Q19&gt;N19)),(MAX(Y19,Z19)*(R19/9))+MAX(Y19:Z19),IF(OR(Q19=MIN(N19,O19),AND(Q19&lt;N19,Q19&lt;O19)),X19*(1+(R19/9)),IF(AND(Q19&lt;O19,Q19&gt;N19,Y19&gt;0),Y19*(1+(R19/9)),IF(AND(Q19&lt;O19,Q19&gt;N19,Y19=0),X19*(1+(R19/9)),X19*(1+P19)*(1+(R19/9))))))</f>
        <v>#N/A</v>
      </c>
      <c r="AB19" s="683"/>
      <c r="AC19" s="774"/>
      <c r="AD19" s="774"/>
      <c r="AE19" s="777"/>
      <c r="AF19" s="781">
        <f t="shared" si="20"/>
        <v>0</v>
      </c>
      <c r="AG19" s="781" t="e">
        <f>HLOOKUP(E19,'2. AWARDS'!$F$7:$J$40,32,FALSE)/5*HLOOKUP(E19,'2. AWARDS'!$F$7:$J$40,31,FALSE)*MAX(W19:AA19)*M19*HLOOKUP(E19,'2. AWARDS'!$F$7:$J$40,34,FALSE)*(L19/(38*2))</f>
        <v>#N/A</v>
      </c>
      <c r="AH19" s="783" t="e">
        <f>((HLOOKUP(E19,'2. AWARDS'!$F$7:$J$42,36,FALSE)/HLOOKUP(E19,'2. AWARDS'!$F$7:$J$42,35,FALSE)*HLOOKUP(E19,'2. AWARDS'!$F$7:$J$45,39,FALSE))/(HLOOKUP(E19,'2. AWARDS'!$F$7:$J$45,31,FALSE)*2)*L19*M19*HLOOKUP(E19,'2. AWARDS'!$F$7:$J$45,31,FALSE)*MAX(W19:AA19))</f>
        <v>#N/A</v>
      </c>
      <c r="AI19" s="474"/>
      <c r="AJ19" s="804"/>
      <c r="AK19" s="804"/>
      <c r="AL19" s="801"/>
      <c r="AM19" s="802"/>
      <c r="AN19" s="1012"/>
      <c r="AO19" s="836">
        <f>IF(AJ19="YES",HLOOKUP(E19,'2. AWARDS'!$F$7:$J$38,32,FALSE)/5*HLOOKUP(E19,'2. AWARDS'!$F$7:$J$37,31,FALSE)*L19/(HLOOKUP(E19,'2. AWARDS'!$F$7:$J$37,31,FALSE)*2)*M19*MAX(W19:AA19)*(1+HLOOKUP(E19,'2. AWARDS'!$F$7:$J$43,37,FALSE))*(1-AM19),0)</f>
        <v>0</v>
      </c>
      <c r="AP19" s="836">
        <f>IF(AK19="YES",HLOOKUP(E19,'2. AWARDS'!$F$7:$J$39,33,FALSE)/5*HLOOKUP(E19,'2. AWARDS'!$F$7:$J$37,31,FALSE)*L19/(HLOOKUP(E19,'2. AWARDS'!$F$7:$J$37,31,FALSE)*2)*M19*MAX(W19:AA19)*(1+HLOOKUP(E19,'2. AWARDS'!$F$7:$J$43,37,FALSE))*(1-AM19),0)</f>
        <v>0</v>
      </c>
      <c r="AQ19" s="838">
        <f>IF(AL19="YES",HLOOKUP(E19,'2. AWARDS'!$F$7:$J$47,40,FALSE)/5*HLOOKUP(E19,'2. AWARDS'!$F$7:$J$37,31,FALSE)*L19/(HLOOKUP(E19,'2. AWARDS'!$F$7:$J$37,31,FALSE)*2)*M19*MAX(W19:AA19)*(1+HLOOKUP(E19,'2. AWARDS'!$F$7:$J$43,37,FALSE))*(1-AM19),0)</f>
        <v>0</v>
      </c>
      <c r="AR19" s="839">
        <f>(IF(AJ19="YES",HLOOKUP(E19,'2. AWARDS'!$F$7:$J$39,32,FALSE),0)+IF(AK19="YES",HLOOKUP(E19,'2. AWARDS'!$F$7:$J$39,33,FALSE),0)+IF(AL19="YES",HLOOKUP(E19,'2. AWARDS'!$F$7:$J$47,40,FALSE),0))*L19/76*7.6*AM19*AN19*M19</f>
        <v>0</v>
      </c>
      <c r="AS19" s="683"/>
      <c r="AT19" s="802">
        <f>'1. KEY DATA'!J$29</f>
        <v>0</v>
      </c>
      <c r="AU19" s="822">
        <f>'1. KEY DATA'!J$30</f>
        <v>0.09</v>
      </c>
      <c r="AV19" s="502"/>
      <c r="AW19" s="899">
        <f>IF(OR(E19=0,F19=0),0,IF(OR(O19=0,Q19=0),"date missing",IF(W19&gt;MAX(X19:AA19),((((T19*(V19-D19+1))+( W19*(D19+365-V19-1)))/365*(1+H19+I19)*L19*M19*26.071428)+SUM(AC19:AH19)+SUM(AO19:AQ19))*(1+AT19+AU19)+AR19,IF(OR(N19=0,Y19=0),((((((X19*(O19+Q19-MAX(O19,Q19)-D19+1))+(MIN(Z19,AA19)*(MAX(O19,Q19)-MIN(O19,Q19)))+(MAX(Z19,AA19)*(D19+365-1-MAX(O19,Q19)))))/365)*(1+H19+I19)*L19*M19*26.071428)+SUM(AC19:AH19)+SUM(AO19:AQ19))*(1+AT19+AU19)+AR19,IF(Y19&lt;AND(Z19,AA19),(((((X19*(N19-D19+1))+(Y19*(MIN(O19,Q19)-N19))+(MIN(Z19,AA19)*(MAX(O19,Q19)-MIN(O19,Q19)))+(MAX(Z19,AA19)*(D19+365-MAX(O19,Q19)-1)))/365)*(1+H19+I19)*L19*M19*26.071428)+SUM(AC19:AH19)+SUM(AO19:AQ19))*(1+AT19+AU19)+AR19,IF(Z19&lt;AND(Y19,AA19),((((X19*(O19-D19+1)+(Z19*(MIN(N19,Q19)-O19))+(MIN(Y19,AA19)*(MAX(N19,Q19)-MIN(N19,Q19)))+(MAX(Y19,AA19)*(D19+365-MAX(N19,Q19)-1)))/365)*(1+H19+I19)*L19*M19*26.071428)+SUM(AC19:AH19)+SUM(AO19:AQ19))*(1+AT19+AU19)+AR19,(((((X19*(Q19-D19+1)+(AA19*(MIN(N19,O19)-Q19))+(MIN(Y19,Z19)*(MAX(N19,O19)-MIN(N19,O19)))+(MAX(Y19,Z19)*(D19+365-MAX(N19,O19)-1)))/365)*(1+H19+I19)*L19*M19*26.071428)+SUM(AC19:AH19)+SUM(AO19:AQ19))*(1+AT19+AU19)+AR19)))))))</f>
        <v>0</v>
      </c>
      <c r="AX19" s="502"/>
      <c r="AY19" s="477"/>
      <c r="AZ19" s="233"/>
      <c r="BA19" s="233"/>
      <c r="BB19" s="233"/>
      <c r="BC19" s="233"/>
      <c r="BD19" s="233"/>
      <c r="BE19" s="233"/>
      <c r="BF19" s="233"/>
      <c r="BG19" s="233"/>
      <c r="BH19" s="233"/>
      <c r="BI19" s="1392"/>
      <c r="BJ19" s="1393"/>
      <c r="BK19" s="1393"/>
      <c r="BL19" s="1394"/>
      <c r="BM19" s="301">
        <f t="shared" si="22"/>
        <v>1</v>
      </c>
      <c r="BO19" s="244">
        <f t="shared" si="23"/>
        <v>0</v>
      </c>
      <c r="BP19" s="245">
        <f t="shared" si="24"/>
        <v>0</v>
      </c>
      <c r="BQ19" s="245">
        <f t="shared" si="25"/>
        <v>0</v>
      </c>
      <c r="BR19" s="245">
        <f t="shared" si="26"/>
        <v>0</v>
      </c>
      <c r="BS19" s="245">
        <f t="shared" si="27"/>
        <v>0</v>
      </c>
      <c r="BT19" s="245">
        <f t="shared" si="28"/>
        <v>0</v>
      </c>
      <c r="BU19" s="245">
        <f t="shared" si="29"/>
        <v>0</v>
      </c>
      <c r="BV19" s="245">
        <f t="shared" si="30"/>
        <v>0</v>
      </c>
      <c r="BW19" s="245">
        <f t="shared" si="31"/>
        <v>0</v>
      </c>
      <c r="BX19" s="246">
        <f t="shared" si="32"/>
        <v>0</v>
      </c>
      <c r="BY19" s="1380"/>
      <c r="BZ19" s="1381"/>
      <c r="CA19" s="1381"/>
      <c r="CB19" s="1382"/>
    </row>
    <row r="20" spans="1:80" ht="15.75" thickBot="1">
      <c r="A20">
        <f t="shared" si="0"/>
        <v>7</v>
      </c>
      <c r="B20" s="217"/>
      <c r="C20" s="214"/>
      <c r="D20" s="699">
        <f t="shared" si="33"/>
        <v>0</v>
      </c>
      <c r="E20" s="697"/>
      <c r="F20" s="900"/>
      <c r="G20" s="701"/>
      <c r="H20" s="693"/>
      <c r="I20" s="694"/>
      <c r="J20" s="1113"/>
      <c r="K20" s="1114"/>
      <c r="L20" s="1108"/>
      <c r="M20" s="689"/>
      <c r="N20" s="628"/>
      <c r="O20" s="628"/>
      <c r="P20" s="638">
        <f t="shared" si="34"/>
        <v>0.03</v>
      </c>
      <c r="Q20" s="797"/>
      <c r="R20" s="673" t="str">
        <f t="shared" si="17"/>
        <v>-</v>
      </c>
      <c r="S20" s="649"/>
      <c r="T20" s="647">
        <v>0</v>
      </c>
      <c r="U20" s="827"/>
      <c r="V20" s="669"/>
      <c r="W20" s="798">
        <f t="shared" si="18"/>
        <v>0</v>
      </c>
      <c r="X20" s="656">
        <f>IF(OR(E20=0,F20=0),0,IF(E20='2. AWARDS'!F$7,VLOOKUP(F20,'2. AWARDS'!$C$9:$F$35,4,FALSE),IF(E20='2. AWARDS'!G$7,VLOOKUP(F20,'2. AWARDS'!$C$9:$G$35,5,FALSE),IF(E20='2. AWARDS'!H$7,VLOOKUP(F20,'2. AWARDS'!$C$9:$H$35,6,FALSE),IF(E20='2. AWARDS'!I$7,VLOOKUP(F20,'2. AWARDS'!$C$9:$I$35,7,FALSE),VLOOKUP(F20,'2. AWARDS'!$C$9:$J$35,8,FALSE))))))</f>
        <v>0</v>
      </c>
      <c r="Y20" s="980">
        <f>IF(OR(E20=0,F20=0),0,IF(AND(N20=0,E20='2. AWARDS'!F$7,VLOOKUP(F20,'2. AWARDS'!$C$9:$O$35,9,FALSE)&lt;&gt;0),"date missing",IF(AND(N20=0,E20='2. AWARDS'!G$7,VLOOKUP(F20,'2. AWARDS'!$C$9:$O$35,10,FALSE)&lt;&gt;0),"date missing",IF(AND(N20=0,E20='2. AWARDS'!H$7,VLOOKUP(F20,'2. AWARDS'!$C$9:$O$35,11,FALSE)&lt;&gt;0),"date missing",IF(AND(N20=0,E20='2. AWARDS'!I$7,VLOOKUP(F20,'2. AWARDS'!$C$9:$O$35,12,FALSE)&lt;&gt;0),"date missing",IF(AND(N20=0,E20='2. AWARDS'!J$7,VLOOKUP(F20,'2. AWARDS'!$C$9:$O$35,13,FALSE)&lt;&gt;0),"date missing",IF(N20=0,0,IF(OR(N20=MIN(O20,Q20),AND(N20&lt;O20,N20&lt;Q20,N20&gt;0)),IF(E20='2. AWARDS'!F$7,VLOOKUP(F20,'2. AWARDS'!$C$9:$O$35,9,FALSE),IF(E20='2. AWARDS'!G$7,VLOOKUP(F20,'2. AWARDS'!$C$9:$O$35,10,FALSE),IF(E20='2. AWARDS'!H$7,VLOOKUP(F20,'2. AWARDS'!$C$9:$O$35,11,FALSE),IF(E20='2. AWARDS'!I$7,VLOOKUP(F20,'2. AWARDS'!$C$9:$O$35,12,FALSE),IF(E20='2. AWARDS'!J$7,VLOOKUP(F20,'2. AWARDS'!$C$9:$O$35,13,FALSE)))))),IF(AND(N20&gt;O20,N20&lt;Q20),IF(E20='2. AWARDS'!F$7,(1+P20)*VLOOKUP(F20,'2. AWARDS'!$C$9:$O$35,9,FALSE),IF(E20='2. AWARDS'!G$7,(1+P20)*VLOOKUP(F20,'2. AWARDS'!$C$9:$O$35,10,FALSE),IF(E20='2. AWARDS'!H$7,(1+P20)*VLOOKUP(F20,'2. AWARDS'!$C$9:$O$35,11,FALSE),IF(E20='2. AWARDS'!I$7,(1+P20)*VLOOKUP(F20,'2. AWARDS'!$C$9:$O$35,12,FALSE),IF(E20='2. AWARDS'!J$7,(1+P20)*VLOOKUP(F20,'2. AWARDS'!$C$9:$O$35,13,FALSE)))))),IF(AND(N20&lt;O20,N20&gt;Q20),IF(E20='2. AWARDS'!F$7,(1+(R20/9))*VLOOKUP(F20,'2. AWARDS'!$C$9:$O$35,9,FALSE),IF(E20='2. AWARDS'!G$7,(1+(R20/9))*VLOOKUP(F20,'2. AWARDS'!$C$9:$O$35,10,FALSE),IF(E20='2. AWARDS'!H$7,(1+(R20/9))*VLOOKUP(F20,'2. AWARDS'!$C$9:$O$35,11,FALSE),IF(E20='2. AWARDS'!I$7,(1+(R20/9))*VLOOKUP(F20,'2. AWARDS'!$C$9:$O$35,12,FALSE),IF(E20='2. AWARDS'!J$7,(1+(R20/9))*VLOOKUP(F20,'2. AWARDS'!$C$9:$O$35,13,FALSE)))))),IF(OR(N20=MAX(O20,Q20),AND(N20&gt;O20,N20&gt;Q20)),IF(E20='2. AWARDS'!F$7,((1+(R20/9))*(1+P20))*VLOOKUP(F20,'2. AWARDS'!$C$9:$O$35,9,FALSE),IF(E20='2. AWARDS'!G$7,((1+(R20/9))*(1+P20))*VLOOKUP(F20,'2. AWARDS'!$C$9:$O$35,10,FALSE),IF(E20='2. AWARDS'!H$7,((1+(R20/9))*(1+P20))*VLOOKUP(F20,'2. AWARDS'!$C$9:$O$35,11,FALSE),IF(E20='2. AWARDS'!I$7,((1+(R20/9))*(1+P20))*VLOOKUP(F20,'2. AWARDS'!$C$9:$O$35,12,FALSE),IF(E20='2. AWARDS'!J$7,((1+(R20/9))*(1+P20))*VLOOKUP(F20,'2. AWARDS'!$C$9:$O$35,13,FALSE)))))),"?")))))))))))</f>
        <v>0</v>
      </c>
      <c r="Z20" s="1093" t="e">
        <f>IF(AND(E20='2. AWARDS'!F13,O20&gt;N20,O20&gt;Q20,VLOOKUP(F20,'2. AWARDS'!$C$9:$O$35,9,FALSE)&lt;&gt;0),VLOOKUP(F20,'2. AWARDS'!$C$9:$O$35,9,FALSE)*(1+P20)*(1+(R20/9)),IF(AND(E20='2. AWARDS'!F13,O20&gt;N20,O20&gt;Q20,VLOOKUP(F20,'2. AWARDS'!$C$9:$O$35,9,FALSE)=0),X20*(1+P20)*(1+(R20/9)),IF(AND(E20='2. AWARDS'!G13,O20&gt;N20,O20&gt;Q20,VLOOKUP(F20,'2. AWARDS'!$C$9:$O$35,10,FALSE)&lt;&gt;0),VLOOKUP(F20,'2. AWARDS'!$C$9:$O$35,10,FALSE)*(1+P20)*(1+(R20/9)),IF(AND(E20='2. AWARDS'!G13,O20&gt;N20,O20&gt;Q20,VLOOKUP(F20,'2. AWARDS'!$C$9:$O$35,10,FALSE)=0),X20*(1+P20)*(1+(R20/9)),IF(AND(E20='2. AWARDS'!H13,O20&gt;N20,O20&gt;Q20,VLOOKUP(F20,'2. AWARDS'!$C$9:$O$35,11,FALSE)&lt;&gt;0),VLOOKUP(F20,'2. AWARDS'!$C$9:$O$35,11,FALSE)*(1+P20)*(1+(R20/9)),IF(AND(E20='2. AWARDS'!H13,O20&gt;N20,O20&gt;Q20,VLOOKUP(F20,'2. AWARDS'!$C$9:$O$35,11,FALSE)=0),X20*(1+P20)*(1+(R20/9)),IF(AND(E20='2. AWARDS'!I13,O20&gt;N20,O20&gt;Q20,VLOOKUP(F20,'2. AWARDS'!$C$9:$O$35,12,FALSE)&lt;&gt;0),VLOOKUP(F20,'2. AWARDS'!$C$9:$O$35,12,FALSE)*(1+P20)*(1+(R20/9)),IF(AND(E20='2. AWARDS'!I13,O20&gt;N20,O20&gt;Q20,VLOOKUP(F20,'2. AWARDS'!$C$9:$O$35,12,FALSE)=0),X20*(1+P20)*(1+(R20/9)),IF(AND(E20='2. AWARDS'!J13,O20&gt;N20,O20&gt;Q20,VLOOKUP(F20,'2. AWARDS'!$C$9:$O$35,13,FALSE)&lt;&gt;0),VLOOKUP(F20,'2. AWARDS'!$C$9:$O$35,13,FALSE)*(1+P20)*(1+(R20/9)),IF(AND(E20='2. AWARDS'!J13,O20&gt;N20,O20&gt;Q20,VLOOKUP(F20,'2. AWARDS'!$C$9:$O$35,13,FALSE)=0),X20*(1+P20)*(1+(R20/9)),IF(AND(O20&lt;N20,O20&gt;Q20),X20*(1+P20)*(1+(R20/9)),IF(AND(E20='2. AWARDS'!F13,O20=MAX(N20,Q20),VLOOKUP(F20,'2. AWARDS'!$C$9:$O$35,9,FALSE)&lt;&gt;0),VLOOKUP(F20,'2. AWARDS'!$C$9:$O$35,9,FALSE)*(1+P20)*(1+(R20/9)),IF(AND(E20='2. AWARDS'!F13,O20=MAX(N20,Q20),VLOOKUP(F20,'2. AWARDS'!$C$9:$O$35,9,FALSE)=0),X20*(1+P20)*(1+(R20/9)),IF(AND(E20='2. AWARDS'!G13,O20=MAX(N20,Q20),VLOOKUP(F20,'2. AWARDS'!$C$9:$O$35,10,FALSE)&lt;&gt;0),VLOOKUP(F20,'2. AWARDS'!$C$9:$O$35,10,FALSE)*(1+P20)*(1+(R20/9)),IF(AND(E20='2. AWARDS'!G13,O20=MAX(N20,Q20),VLOOKUP(F20,'2. AWARDS'!$C$9:$O$35,10,FALSE)=0),X20*(1+P20)*(1+(R20/9)),IF(AND(E20='2. AWARDS'!H13,O20=MAX(N20,Q20),VLOOKUP(F20,'2. AWARDS'!$C$9:$O$35,11,FALSE)&lt;&gt;0),VLOOKUP(F20,'2. AWARDS'!$C$9:$O$35,11,FALSE)*(1+P20)*(1+(R20/9)),IF(AND(E20='2. AWARDS'!H13,O20=MAX(N20,Q20),VLOOKUP(F20,'2. AWARDS'!$C$9:$O$35,11,FALSE)=0),X20*(1+P20)*(1+(R20/9)),IF(AND(E20='2. AWARDS'!I13,O20=MAX(N20,Q20),VLOOKUP(F20,'2. AWARDS'!$C$9:$O$35,12,FALSE)&lt;&gt;0),VLOOKUP(F20,'2. AWARDS'!$C$9:$O$35,12,FALSE)*(1+P20)*(1+(R20/9)),IF(AND(E20='2. AWARDS'!I13,O20=MAX(N20,Q20),VLOOKUP(F20,'2. AWARDS'!$C$9:$O$35,12,FALSE)=0),X20*(1+P20)*(1+(R20/9)),IF(AND(E20='2. AWARDS'!J13,O20=MAX(N20,Q20),VLOOKUP(F20,'2. AWARDS'!$C$9:$O$35,13,FALSE)&lt;&gt;0),VLOOKUP(F20,'2. AWARDS'!$C$9:$O$35,13,FALSE)*(1+P20)*(1+(R20/9)),IF(AND(E20='2. AWARDS'!J13,O20=MAX(N20,Q20),VLOOKUP(F20,'2. AWARDS'!$C$9:$O$35,13,FALSE)=0),X20*(1+P20)*(1+(R20/9)),IF(AND(O20&lt;N20,O20&lt;Q20),X20*(1+P20),IF(AND(O20=N20,N20&lt;Q20,E20='2. AWARDS'!F13),VLOOKUP(F20,'2. AWARDS'!$C$9:$O$35,9,FALSE)*(1+P20),IF(AND(O20=N20,N20&lt;Q20,E20='2. AWARDS'!G13),VLOOKUP(F20,'2. AWARDS'!$C$9:$O$35,10,FALSE)*(1+P20),IF(AND(O20=N20,N20&lt;Q20,E20='2. AWARDS'!H13),VLOOKUP(F20,'2. AWARDS'!$C$9:$O$35,11,FALSE)*(1+P20),IF(AND(O20=N20,N20&lt;Q20,E20='2. AWARDS'!I13),VLOOKUP(F20,'2. AWARDS'!$C$9:$O$35,12,FALSE)*(1+P20),IF(AND(O20=N20,N20&lt;Q20,E20='2. AWARDS'!J13),VLOOKUP(F20,'2. AWARDS'!$C$9:$O$35,13,FALSE)*(1+P20),IF(AND(O20=Q20,N20&gt;Q20),X20*(1+P20)*(1+(R20/9)),IF(AND(E20='2. AWARDS'!F13,O20&gt;N20,O20&lt;Q20,VLOOKUP(F20,'2. AWARDS'!$C$9:$O$35,9,FALSE)&lt;&gt;0),VLOOKUP(F20,'2. AWARDS'!$C$9:$O$35,9,FALSE)*(1+P20),IF(AND(E20='2. AWARDS'!G13,O20&gt;N20,O20&lt;Q20,VLOOKUP(F20,'2. AWARDS'!$C$9:$O$35,10,FALSE)&lt;&gt;0),VLOOKUP(F20,'2. AWARDS'!$C$9:$O$35,10,FALSE)*(1+P20),IF(AND(E20='2. AWARDS'!H13,O20&gt;N20,O20&lt;Q20,VLOOKUP(F20,'2. AWARDS'!$C$9:$O$35,11,FALSE)&lt;&gt;0),VLOOKUP(F20,'2. AWARDS'!$C$9:$O$35,11,FALSE)*(1+P20),IF(AND(E20='2. AWARDS'!I13,O20&gt;N20,O20&lt;Q20,VLOOKUP(F20,'2. AWARDS'!$C$9:$O$35,12,FALSE)&lt;&gt;0),VLOOKUP(F20,'2. AWARDS'!$C$9:$O$35,12,FALSE)*(1+P20),IF(AND(E20='2. AWARDS'!J13,O20&gt;N20,O20&lt;Q20,VLOOKUP(F20,'2. AWARDS'!$C$9:$O$35,13,FALSE)&lt;&gt;0),VLOOKUP(F20,'2. AWARDS'!$C$9:$O$35,13,FALSE)*(1+P20),X20*(1+P20))))))))))))))))))))))))))))))))))</f>
        <v>#N/A</v>
      </c>
      <c r="AA20" s="661" t="e">
        <f t="shared" ref="AA20:AA49" si="35">IF(OR(Q20=MAX(N20,O20),AND(Q20&gt;O20,Q20&gt;N20)),(MAX(Y20,Z20)*(R20/9))+MAX(Y20:Z20),IF(OR(Q20=MIN(N20,O20),AND(Q20&lt;N20,Q20&lt;O20)),X20*(1+(R20/9)),IF(AND(Q20&lt;O20,Q20&gt;N20,Y20&gt;0),Y20*(1+(R20/9)),IF(AND(Q20&lt;O20,Q20&gt;N20,Y20=0),X20*(1+(R20/9)),X20*(1+P20)*(1+(R20/9))))))</f>
        <v>#N/A</v>
      </c>
      <c r="AB20" s="683"/>
      <c r="AC20" s="774"/>
      <c r="AD20" s="774"/>
      <c r="AE20" s="777"/>
      <c r="AF20" s="781">
        <f t="shared" si="20"/>
        <v>0</v>
      </c>
      <c r="AG20" s="781" t="e">
        <f>HLOOKUP(E20,'2. AWARDS'!$F$7:$J$40,32,FALSE)/5*HLOOKUP(E20,'2. AWARDS'!$F$7:$J$40,31,FALSE)*MAX(W20:AA20)*M20*HLOOKUP(E20,'2. AWARDS'!$F$7:$J$40,34,FALSE)*(L20/(38*2))</f>
        <v>#N/A</v>
      </c>
      <c r="AH20" s="783" t="e">
        <f>((HLOOKUP(E20,'2. AWARDS'!$F$7:$J$42,36,FALSE)/HLOOKUP(E20,'2. AWARDS'!$F$7:$J$42,35,FALSE)*HLOOKUP(E20,'2. AWARDS'!$F$7:$J$45,39,FALSE))/(HLOOKUP(E20,'2. AWARDS'!$F$7:$J$45,31,FALSE)*2)*L20*M20*HLOOKUP(E20,'2. AWARDS'!$F$7:$J$45,31,FALSE)*MAX(W20:AA20))</f>
        <v>#N/A</v>
      </c>
      <c r="AI20" s="474"/>
      <c r="AJ20" s="804"/>
      <c r="AK20" s="804"/>
      <c r="AL20" s="801"/>
      <c r="AM20" s="802"/>
      <c r="AN20" s="1012"/>
      <c r="AO20" s="836">
        <f>IF(AJ20="YES",HLOOKUP(E20,'2. AWARDS'!$F$7:$J$38,32,FALSE)/5*HLOOKUP(E20,'2. AWARDS'!$F$7:$J$37,31,FALSE)*L20/(HLOOKUP(E20,'2. AWARDS'!$F$7:$J$37,31,FALSE)*2)*M20*MAX(W20:AA20)*(1+HLOOKUP(E20,'2. AWARDS'!$F$7:$J$43,37,FALSE))*(1-AM20),0)</f>
        <v>0</v>
      </c>
      <c r="AP20" s="836">
        <f>IF(AK20="YES",HLOOKUP(E20,'2. AWARDS'!$F$7:$J$39,33,FALSE)/5*HLOOKUP(E20,'2. AWARDS'!$F$7:$J$37,31,FALSE)*L20/(HLOOKUP(E20,'2. AWARDS'!$F$7:$J$37,31,FALSE)*2)*M20*MAX(W20:AA20)*(1+HLOOKUP(E20,'2. AWARDS'!$F$7:$J$43,37,FALSE))*(1-AM20),0)</f>
        <v>0</v>
      </c>
      <c r="AQ20" s="838">
        <f>IF(AL20="YES",HLOOKUP(E20,'2. AWARDS'!$F$7:$J$47,40,FALSE)/5*HLOOKUP(E20,'2. AWARDS'!$F$7:$J$37,31,FALSE)*L20/(HLOOKUP(E20,'2. AWARDS'!$F$7:$J$37,31,FALSE)*2)*M20*MAX(W20:AA20)*(1+HLOOKUP(E20,'2. AWARDS'!$F$7:$J$43,37,FALSE))*(1-AM20),0)</f>
        <v>0</v>
      </c>
      <c r="AR20" s="839">
        <f>(IF(AJ20="YES",HLOOKUP(E20,'2. AWARDS'!$F$7:$J$39,32,FALSE),0)+IF(AK20="YES",HLOOKUP(E20,'2. AWARDS'!$F$7:$J$39,33,FALSE),0)+IF(AL20="YES",HLOOKUP(E20,'2. AWARDS'!$F$7:$J$47,40,FALSE),0))*L20/76*7.6*AM20*AN20*M20</f>
        <v>0</v>
      </c>
      <c r="AS20" s="683"/>
      <c r="AT20" s="802">
        <f>'1. KEY DATA'!J$29</f>
        <v>0</v>
      </c>
      <c r="AU20" s="822">
        <f>'1. KEY DATA'!J$30</f>
        <v>0.09</v>
      </c>
      <c r="AV20" s="502"/>
      <c r="AW20" s="899">
        <f t="shared" si="21"/>
        <v>0</v>
      </c>
      <c r="AX20" s="502"/>
      <c r="AY20" s="477"/>
      <c r="AZ20" s="233"/>
      <c r="BA20" s="233"/>
      <c r="BB20" s="233"/>
      <c r="BC20" s="233"/>
      <c r="BD20" s="233"/>
      <c r="BE20" s="233"/>
      <c r="BF20" s="233"/>
      <c r="BG20" s="233"/>
      <c r="BH20" s="233"/>
      <c r="BI20" s="1392"/>
      <c r="BJ20" s="1393"/>
      <c r="BK20" s="1393"/>
      <c r="BL20" s="1394"/>
      <c r="BM20" s="301">
        <f t="shared" si="22"/>
        <v>1</v>
      </c>
      <c r="BO20" s="244">
        <f t="shared" si="23"/>
        <v>0</v>
      </c>
      <c r="BP20" s="245">
        <f t="shared" si="24"/>
        <v>0</v>
      </c>
      <c r="BQ20" s="245">
        <f t="shared" si="25"/>
        <v>0</v>
      </c>
      <c r="BR20" s="245">
        <f t="shared" si="26"/>
        <v>0</v>
      </c>
      <c r="BS20" s="245">
        <f t="shared" si="27"/>
        <v>0</v>
      </c>
      <c r="BT20" s="245">
        <f t="shared" si="28"/>
        <v>0</v>
      </c>
      <c r="BU20" s="245">
        <f t="shared" si="29"/>
        <v>0</v>
      </c>
      <c r="BV20" s="245">
        <f t="shared" si="30"/>
        <v>0</v>
      </c>
      <c r="BW20" s="245">
        <f t="shared" si="31"/>
        <v>0</v>
      </c>
      <c r="BX20" s="246">
        <f t="shared" si="32"/>
        <v>0</v>
      </c>
      <c r="BY20" s="1380"/>
      <c r="BZ20" s="1381"/>
      <c r="CA20" s="1381"/>
      <c r="CB20" s="1382"/>
    </row>
    <row r="21" spans="1:80" ht="15.75" thickBot="1">
      <c r="A21">
        <f t="shared" si="0"/>
        <v>8</v>
      </c>
      <c r="B21" s="217"/>
      <c r="C21" s="214"/>
      <c r="D21" s="699">
        <f t="shared" si="33"/>
        <v>0</v>
      </c>
      <c r="E21" s="626"/>
      <c r="F21" s="900"/>
      <c r="G21" s="702"/>
      <c r="H21" s="693"/>
      <c r="I21" s="694"/>
      <c r="J21" s="1113"/>
      <c r="K21" s="1114"/>
      <c r="L21" s="1108"/>
      <c r="M21" s="689"/>
      <c r="N21" s="628"/>
      <c r="O21" s="629"/>
      <c r="P21" s="638">
        <f t="shared" ref="P21:P49" si="36">P20</f>
        <v>0.03</v>
      </c>
      <c r="Q21" s="629"/>
      <c r="R21" s="673" t="str">
        <f t="shared" si="17"/>
        <v>-</v>
      </c>
      <c r="S21" s="649"/>
      <c r="T21" s="647"/>
      <c r="U21" s="827"/>
      <c r="V21" s="670"/>
      <c r="W21" s="798">
        <f t="shared" si="18"/>
        <v>0</v>
      </c>
      <c r="X21" s="656">
        <f>IF(OR(E21=0,F21=0),0,IF(E21='2. AWARDS'!F$7,VLOOKUP(F21,'2. AWARDS'!$C$9:$F$35,4,FALSE),IF(E21='2. AWARDS'!G$7,VLOOKUP(F21,'2. AWARDS'!$C$9:$G$35,5,FALSE),IF(E21='2. AWARDS'!H$7,VLOOKUP(F21,'2. AWARDS'!$C$9:$H$35,6,FALSE),IF(E21='2. AWARDS'!I$7,VLOOKUP(F21,'2. AWARDS'!$C$9:$I$35,7,FALSE),VLOOKUP(F21,'2. AWARDS'!$C$9:$J$35,8,FALSE))))))</f>
        <v>0</v>
      </c>
      <c r="Y21" s="980">
        <f>IF(OR(E21=0,F21=0),0,IF(AND(N21=0,E21='2. AWARDS'!F$7,VLOOKUP(F21,'2. AWARDS'!$C$9:$O$35,9,FALSE)&lt;&gt;0),"date missing",IF(AND(N21=0,E21='2. AWARDS'!G$7,VLOOKUP(F21,'2. AWARDS'!$C$9:$O$35,10,FALSE)&lt;&gt;0),"date missing",IF(AND(N21=0,E21='2. AWARDS'!H$7,VLOOKUP(F21,'2. AWARDS'!$C$9:$O$35,11,FALSE)&lt;&gt;0),"date missing",IF(AND(N21=0,E21='2. AWARDS'!I$7,VLOOKUP(F21,'2. AWARDS'!$C$9:$O$35,12,FALSE)&lt;&gt;0),"date missing",IF(AND(N21=0,E21='2. AWARDS'!J$7,VLOOKUP(F21,'2. AWARDS'!$C$9:$O$35,13,FALSE)&lt;&gt;0),"date missing",IF(N21=0,0,IF(OR(N21=MIN(O21,Q21),AND(N21&lt;O21,N21&lt;Q21,N21&gt;0)),IF(E21='2. AWARDS'!F$7,VLOOKUP(F21,'2. AWARDS'!$C$9:$O$35,9,FALSE),IF(E21='2. AWARDS'!G$7,VLOOKUP(F21,'2. AWARDS'!$C$9:$O$35,10,FALSE),IF(E21='2. AWARDS'!H$7,VLOOKUP(F21,'2. AWARDS'!$C$9:$O$35,11,FALSE),IF(E21='2. AWARDS'!I$7,VLOOKUP(F21,'2. AWARDS'!$C$9:$O$35,12,FALSE),IF(E21='2. AWARDS'!J$7,VLOOKUP(F21,'2. AWARDS'!$C$9:$O$35,13,FALSE)))))),IF(AND(N21&gt;O21,N21&lt;Q21),IF(E21='2. AWARDS'!F$7,(1+P21)*VLOOKUP(F21,'2. AWARDS'!$C$9:$O$35,9,FALSE),IF(E21='2. AWARDS'!G$7,(1+P21)*VLOOKUP(F21,'2. AWARDS'!$C$9:$O$35,10,FALSE),IF(E21='2. AWARDS'!H$7,(1+P21)*VLOOKUP(F21,'2. AWARDS'!$C$9:$O$35,11,FALSE),IF(E21='2. AWARDS'!I$7,(1+P21)*VLOOKUP(F21,'2. AWARDS'!$C$9:$O$35,12,FALSE),IF(E21='2. AWARDS'!J$7,(1+P21)*VLOOKUP(F21,'2. AWARDS'!$C$9:$O$35,13,FALSE)))))),IF(AND(N21&lt;O21,N21&gt;Q21),IF(E21='2. AWARDS'!F$7,(1+(R21/9))*VLOOKUP(F21,'2. AWARDS'!$C$9:$O$35,9,FALSE),IF(E21='2. AWARDS'!G$7,(1+(R21/9))*VLOOKUP(F21,'2. AWARDS'!$C$9:$O$35,10,FALSE),IF(E21='2. AWARDS'!H$7,(1+(R21/9))*VLOOKUP(F21,'2. AWARDS'!$C$9:$O$35,11,FALSE),IF(E21='2. AWARDS'!I$7,(1+(R21/9))*VLOOKUP(F21,'2. AWARDS'!$C$9:$O$35,12,FALSE),IF(E21='2. AWARDS'!J$7,(1+(R21/9))*VLOOKUP(F21,'2. AWARDS'!$C$9:$O$35,13,FALSE)))))),IF(OR(N21=MAX(O21,Q21),AND(N21&gt;O21,N21&gt;Q21)),IF(E21='2. AWARDS'!F$7,((1+(R21/9))*(1+P21))*VLOOKUP(F21,'2. AWARDS'!$C$9:$O$35,9,FALSE),IF(E21='2. AWARDS'!G$7,((1+(R21/9))*(1+P21))*VLOOKUP(F21,'2. AWARDS'!$C$9:$O$35,10,FALSE),IF(E21='2. AWARDS'!H$7,((1+(R21/9))*(1+P21))*VLOOKUP(F21,'2. AWARDS'!$C$9:$O$35,11,FALSE),IF(E21='2. AWARDS'!I$7,((1+(R21/9))*(1+P21))*VLOOKUP(F21,'2. AWARDS'!$C$9:$O$35,12,FALSE),IF(E21='2. AWARDS'!J$7,((1+(R21/9))*(1+P21))*VLOOKUP(F21,'2. AWARDS'!$C$9:$O$35,13,FALSE)))))),"?")))))))))))</f>
        <v>0</v>
      </c>
      <c r="Z21" s="1093" t="e">
        <f>IF(AND(E21='2. AWARDS'!F14,O21&gt;N21,O21&gt;Q21,VLOOKUP(F21,'2. AWARDS'!$C$9:$O$35,9,FALSE)&lt;&gt;0),VLOOKUP(F21,'2. AWARDS'!$C$9:$O$35,9,FALSE)*(1+P21)*(1+(R21/9)),IF(AND(E21='2. AWARDS'!F14,O21&gt;N21,O21&gt;Q21,VLOOKUP(F21,'2. AWARDS'!$C$9:$O$35,9,FALSE)=0),X21*(1+P21)*(1+(R21/9)),IF(AND(E21='2. AWARDS'!G14,O21&gt;N21,O21&gt;Q21,VLOOKUP(F21,'2. AWARDS'!$C$9:$O$35,10,FALSE)&lt;&gt;0),VLOOKUP(F21,'2. AWARDS'!$C$9:$O$35,10,FALSE)*(1+P21)*(1+(R21/9)),IF(AND(E21='2. AWARDS'!G14,O21&gt;N21,O21&gt;Q21,VLOOKUP(F21,'2. AWARDS'!$C$9:$O$35,10,FALSE)=0),X21*(1+P21)*(1+(R21/9)),IF(AND(E21='2. AWARDS'!H14,O21&gt;N21,O21&gt;Q21,VLOOKUP(F21,'2. AWARDS'!$C$9:$O$35,11,FALSE)&lt;&gt;0),VLOOKUP(F21,'2. AWARDS'!$C$9:$O$35,11,FALSE)*(1+P21)*(1+(R21/9)),IF(AND(E21='2. AWARDS'!H14,O21&gt;N21,O21&gt;Q21,VLOOKUP(F21,'2. AWARDS'!$C$9:$O$35,11,FALSE)=0),X21*(1+P21)*(1+(R21/9)),IF(AND(E21='2. AWARDS'!I14,O21&gt;N21,O21&gt;Q21,VLOOKUP(F21,'2. AWARDS'!$C$9:$O$35,12,FALSE)&lt;&gt;0),VLOOKUP(F21,'2. AWARDS'!$C$9:$O$35,12,FALSE)*(1+P21)*(1+(R21/9)),IF(AND(E21='2. AWARDS'!I14,O21&gt;N21,O21&gt;Q21,VLOOKUP(F21,'2. AWARDS'!$C$9:$O$35,12,FALSE)=0),X21*(1+P21)*(1+(R21/9)),IF(AND(E21='2. AWARDS'!J14,O21&gt;N21,O21&gt;Q21,VLOOKUP(F21,'2. AWARDS'!$C$9:$O$35,13,FALSE)&lt;&gt;0),VLOOKUP(F21,'2. AWARDS'!$C$9:$O$35,13,FALSE)*(1+P21)*(1+(R21/9)),IF(AND(E21='2. AWARDS'!J14,O21&gt;N21,O21&gt;Q21,VLOOKUP(F21,'2. AWARDS'!$C$9:$O$35,13,FALSE)=0),X21*(1+P21)*(1+(R21/9)),IF(AND(O21&lt;N21,O21&gt;Q21),X21*(1+P21)*(1+(R21/9)),IF(AND(E21='2. AWARDS'!F14,O21=MAX(N21,Q21),VLOOKUP(F21,'2. AWARDS'!$C$9:$O$35,9,FALSE)&lt;&gt;0),VLOOKUP(F21,'2. AWARDS'!$C$9:$O$35,9,FALSE)*(1+P21)*(1+(R21/9)),IF(AND(E21='2. AWARDS'!F14,O21=MAX(N21,Q21),VLOOKUP(F21,'2. AWARDS'!$C$9:$O$35,9,FALSE)=0),X21*(1+P21)*(1+(R21/9)),IF(AND(E21='2. AWARDS'!G14,O21=MAX(N21,Q21),VLOOKUP(F21,'2. AWARDS'!$C$9:$O$35,10,FALSE)&lt;&gt;0),VLOOKUP(F21,'2. AWARDS'!$C$9:$O$35,10,FALSE)*(1+P21)*(1+(R21/9)),IF(AND(E21='2. AWARDS'!G14,O21=MAX(N21,Q21),VLOOKUP(F21,'2. AWARDS'!$C$9:$O$35,10,FALSE)=0),X21*(1+P21)*(1+(R21/9)),IF(AND(E21='2. AWARDS'!H14,O21=MAX(N21,Q21),VLOOKUP(F21,'2. AWARDS'!$C$9:$O$35,11,FALSE)&lt;&gt;0),VLOOKUP(F21,'2. AWARDS'!$C$9:$O$35,11,FALSE)*(1+P21)*(1+(R21/9)),IF(AND(E21='2. AWARDS'!H14,O21=MAX(N21,Q21),VLOOKUP(F21,'2. AWARDS'!$C$9:$O$35,11,FALSE)=0),X21*(1+P21)*(1+(R21/9)),IF(AND(E21='2. AWARDS'!I14,O21=MAX(N21,Q21),VLOOKUP(F21,'2. AWARDS'!$C$9:$O$35,12,FALSE)&lt;&gt;0),VLOOKUP(F21,'2. AWARDS'!$C$9:$O$35,12,FALSE)*(1+P21)*(1+(R21/9)),IF(AND(E21='2. AWARDS'!I14,O21=MAX(N21,Q21),VLOOKUP(F21,'2. AWARDS'!$C$9:$O$35,12,FALSE)=0),X21*(1+P21)*(1+(R21/9)),IF(AND(E21='2. AWARDS'!J14,O21=MAX(N21,Q21),VLOOKUP(F21,'2. AWARDS'!$C$9:$O$35,13,FALSE)&lt;&gt;0),VLOOKUP(F21,'2. AWARDS'!$C$9:$O$35,13,FALSE)*(1+P21)*(1+(R21/9)),IF(AND(E21='2. AWARDS'!J14,O21=MAX(N21,Q21),VLOOKUP(F21,'2. AWARDS'!$C$9:$O$35,13,FALSE)=0),X21*(1+P21)*(1+(R21/9)),IF(AND(O21&lt;N21,O21&lt;Q21),X21*(1+P21),IF(AND(O21=N21,N21&lt;Q21,E21='2. AWARDS'!F14),VLOOKUP(F21,'2. AWARDS'!$C$9:$O$35,9,FALSE)*(1+P21),IF(AND(O21=N21,N21&lt;Q21,E21='2. AWARDS'!G14),VLOOKUP(F21,'2. AWARDS'!$C$9:$O$35,10,FALSE)*(1+P21),IF(AND(O21=N21,N21&lt;Q21,E21='2. AWARDS'!H14),VLOOKUP(F21,'2. AWARDS'!$C$9:$O$35,11,FALSE)*(1+P21),IF(AND(O21=N21,N21&lt;Q21,E21='2. AWARDS'!I14),VLOOKUP(F21,'2. AWARDS'!$C$9:$O$35,12,FALSE)*(1+P21),IF(AND(O21=N21,N21&lt;Q21,E21='2. AWARDS'!J14),VLOOKUP(F21,'2. AWARDS'!$C$9:$O$35,13,FALSE)*(1+P21),IF(AND(O21=Q21,N21&gt;Q21),X21*(1+P21)*(1+(R21/9)),IF(AND(E21='2. AWARDS'!F14,O21&gt;N21,O21&lt;Q21,VLOOKUP(F21,'2. AWARDS'!$C$9:$O$35,9,FALSE)&lt;&gt;0),VLOOKUP(F21,'2. AWARDS'!$C$9:$O$35,9,FALSE)*(1+P21),IF(AND(E21='2. AWARDS'!G14,O21&gt;N21,O21&lt;Q21,VLOOKUP(F21,'2. AWARDS'!$C$9:$O$35,10,FALSE)&lt;&gt;0),VLOOKUP(F21,'2. AWARDS'!$C$9:$O$35,10,FALSE)*(1+P21),IF(AND(E21='2. AWARDS'!H14,O21&gt;N21,O21&lt;Q21,VLOOKUP(F21,'2. AWARDS'!$C$9:$O$35,11,FALSE)&lt;&gt;0),VLOOKUP(F21,'2. AWARDS'!$C$9:$O$35,11,FALSE)*(1+P21),IF(AND(E21='2. AWARDS'!I14,O21&gt;N21,O21&lt;Q21,VLOOKUP(F21,'2. AWARDS'!$C$9:$O$35,12,FALSE)&lt;&gt;0),VLOOKUP(F21,'2. AWARDS'!$C$9:$O$35,12,FALSE)*(1+P21),IF(AND(E21='2. AWARDS'!J14,O21&gt;N21,O21&lt;Q21,VLOOKUP(F21,'2. AWARDS'!$C$9:$O$35,13,FALSE)&lt;&gt;0),VLOOKUP(F21,'2. AWARDS'!$C$9:$O$35,13,FALSE)*(1+P21),X21*(1+P21))))))))))))))))))))))))))))))))))</f>
        <v>#N/A</v>
      </c>
      <c r="AA21" s="661" t="e">
        <f t="shared" si="35"/>
        <v>#N/A</v>
      </c>
      <c r="AB21" s="683"/>
      <c r="AC21" s="774"/>
      <c r="AD21" s="774"/>
      <c r="AE21" s="777"/>
      <c r="AF21" s="781">
        <f t="shared" si="20"/>
        <v>0</v>
      </c>
      <c r="AG21" s="781" t="e">
        <f>HLOOKUP(E21,'2. AWARDS'!$F$7:$J$40,32,FALSE)/5*HLOOKUP(E21,'2. AWARDS'!$F$7:$J$40,31,FALSE)*MAX(W21:AA21)*M21*HLOOKUP(E21,'2. AWARDS'!$F$7:$J$40,34,FALSE)*(L21/(38*2))</f>
        <v>#N/A</v>
      </c>
      <c r="AH21" s="783" t="e">
        <f>((HLOOKUP(E21,'2. AWARDS'!$F$7:$J$42,36,FALSE)/HLOOKUP(E21,'2. AWARDS'!$F$7:$J$42,35,FALSE)*HLOOKUP(E21,'2. AWARDS'!$F$7:$J$45,39,FALSE))/(HLOOKUP(E21,'2. AWARDS'!$F$7:$J$45,31,FALSE)*2)*L21*M21*HLOOKUP(E21,'2. AWARDS'!$F$7:$J$45,31,FALSE)*MAX(W21:AA21))</f>
        <v>#N/A</v>
      </c>
      <c r="AI21" s="474"/>
      <c r="AJ21" s="804"/>
      <c r="AK21" s="801"/>
      <c r="AL21" s="801"/>
      <c r="AM21" s="802"/>
      <c r="AN21" s="1012"/>
      <c r="AO21" s="836">
        <f>IF(AJ21="YES",HLOOKUP(E21,'2. AWARDS'!$F$7:$J$38,32,FALSE)/5*HLOOKUP(E21,'2. AWARDS'!$F$7:$J$37,31,FALSE)*L21/(HLOOKUP(E21,'2. AWARDS'!$F$7:$J$37,31,FALSE)*2)*M21*MAX(W21:AA21)*(1+HLOOKUP(E21,'2. AWARDS'!$F$7:$J$43,37,FALSE))*(1-AM21),0)</f>
        <v>0</v>
      </c>
      <c r="AP21" s="836">
        <f>IF(AK21="YES",HLOOKUP(E21,'2. AWARDS'!$F$7:$J$39,33,FALSE)/5*HLOOKUP(E21,'2. AWARDS'!$F$7:$J$37,31,FALSE)*L21/(HLOOKUP(E21,'2. AWARDS'!$F$7:$J$37,31,FALSE)*2)*M21*MAX(W21:AA21)*(1+HLOOKUP(E21,'2. AWARDS'!$F$7:$J$43,37,FALSE))*(1-AM21),0)</f>
        <v>0</v>
      </c>
      <c r="AQ21" s="838">
        <f>IF(AL21="YES",HLOOKUP(E21,'2. AWARDS'!$F$7:$J$47,40,FALSE)/5*HLOOKUP(E21,'2. AWARDS'!$F$7:$J$37,31,FALSE)*L21/(HLOOKUP(E21,'2. AWARDS'!$F$7:$J$37,31,FALSE)*2)*M21*MAX(W21:AA21)*(1+HLOOKUP(E21,'2. AWARDS'!$F$7:$J$43,37,FALSE))*(1-AM21),0)</f>
        <v>0</v>
      </c>
      <c r="AR21" s="839">
        <f>(IF(AJ21="YES",HLOOKUP(E21,'2. AWARDS'!$F$7:$J$39,32,FALSE),0)+IF(AK21="YES",HLOOKUP(E21,'2. AWARDS'!$F$7:$J$39,33,FALSE),0)+IF(AL21="YES",HLOOKUP(E21,'2. AWARDS'!$F$7:$J$47,40,FALSE),0))*L21/76*7.6*AM21*AN21*M21</f>
        <v>0</v>
      </c>
      <c r="AS21" s="683"/>
      <c r="AT21" s="802">
        <f>'1. KEY DATA'!J$29</f>
        <v>0</v>
      </c>
      <c r="AU21" s="822">
        <f>'1. KEY DATA'!J$30</f>
        <v>0.09</v>
      </c>
      <c r="AV21" s="502"/>
      <c r="AW21" s="899">
        <f t="shared" si="21"/>
        <v>0</v>
      </c>
      <c r="AX21" s="502"/>
      <c r="AY21" s="477"/>
      <c r="AZ21" s="233"/>
      <c r="BA21" s="233"/>
      <c r="BB21" s="233"/>
      <c r="BC21" s="233"/>
      <c r="BD21" s="233"/>
      <c r="BE21" s="233"/>
      <c r="BF21" s="233"/>
      <c r="BG21" s="233"/>
      <c r="BH21" s="233"/>
      <c r="BI21" s="1392"/>
      <c r="BJ21" s="1393"/>
      <c r="BK21" s="1393"/>
      <c r="BL21" s="1394"/>
      <c r="BM21" s="301">
        <f t="shared" si="22"/>
        <v>1</v>
      </c>
      <c r="BO21" s="244">
        <f t="shared" si="23"/>
        <v>0</v>
      </c>
      <c r="BP21" s="245">
        <f t="shared" si="24"/>
        <v>0</v>
      </c>
      <c r="BQ21" s="245">
        <f t="shared" si="25"/>
        <v>0</v>
      </c>
      <c r="BR21" s="245">
        <f t="shared" si="26"/>
        <v>0</v>
      </c>
      <c r="BS21" s="245">
        <f t="shared" si="27"/>
        <v>0</v>
      </c>
      <c r="BT21" s="245">
        <f t="shared" si="28"/>
        <v>0</v>
      </c>
      <c r="BU21" s="245">
        <f t="shared" si="29"/>
        <v>0</v>
      </c>
      <c r="BV21" s="245">
        <f t="shared" si="30"/>
        <v>0</v>
      </c>
      <c r="BW21" s="245">
        <f t="shared" si="31"/>
        <v>0</v>
      </c>
      <c r="BX21" s="246">
        <f t="shared" si="32"/>
        <v>0</v>
      </c>
      <c r="BY21" s="1380"/>
      <c r="BZ21" s="1381"/>
      <c r="CA21" s="1381"/>
      <c r="CB21" s="1382"/>
    </row>
    <row r="22" spans="1:80" ht="15.75" thickBot="1">
      <c r="A22">
        <f t="shared" si="0"/>
        <v>9</v>
      </c>
      <c r="B22" s="213"/>
      <c r="C22" s="214"/>
      <c r="D22" s="699">
        <f t="shared" si="33"/>
        <v>0</v>
      </c>
      <c r="E22" s="697"/>
      <c r="F22" s="659"/>
      <c r="G22" s="701"/>
      <c r="H22" s="691"/>
      <c r="I22" s="692"/>
      <c r="J22" s="1111"/>
      <c r="K22" s="1112"/>
      <c r="L22" s="1107"/>
      <c r="M22" s="688"/>
      <c r="N22" s="628"/>
      <c r="O22" s="628"/>
      <c r="P22" s="638">
        <f t="shared" si="36"/>
        <v>0.03</v>
      </c>
      <c r="Q22" s="797"/>
      <c r="R22" s="673" t="str">
        <f t="shared" si="17"/>
        <v>-</v>
      </c>
      <c r="S22" s="649"/>
      <c r="T22" s="650"/>
      <c r="U22" s="827"/>
      <c r="V22" s="669"/>
      <c r="W22" s="798">
        <f t="shared" si="18"/>
        <v>0</v>
      </c>
      <c r="X22" s="656">
        <f>IF(OR(E22=0,F22=0),0,IF(E22='2. AWARDS'!F$7,VLOOKUP(F22,'2. AWARDS'!$C$9:$F$35,4,FALSE),IF(E22='2. AWARDS'!G$7,VLOOKUP(F22,'2. AWARDS'!$C$9:$G$35,5,FALSE),IF(E22='2. AWARDS'!H$7,VLOOKUP(F22,'2. AWARDS'!$C$9:$H$35,6,FALSE),IF(E22='2. AWARDS'!I$7,VLOOKUP(F22,'2. AWARDS'!$C$9:$I$35,7,FALSE),VLOOKUP(F22,'2. AWARDS'!$C$9:$J$35,8,FALSE))))))</f>
        <v>0</v>
      </c>
      <c r="Y22" s="980">
        <f>IF(OR(E22=0,F22=0),0,IF(AND(N22=0,E22='2. AWARDS'!F$7,VLOOKUP(F22,'2. AWARDS'!$C$9:$O$35,9,FALSE)&lt;&gt;0),"date missing",IF(AND(N22=0,E22='2. AWARDS'!G$7,VLOOKUP(F22,'2. AWARDS'!$C$9:$O$35,10,FALSE)&lt;&gt;0),"date missing",IF(AND(N22=0,E22='2. AWARDS'!H$7,VLOOKUP(F22,'2. AWARDS'!$C$9:$O$35,11,FALSE)&lt;&gt;0),"date missing",IF(AND(N22=0,E22='2. AWARDS'!I$7,VLOOKUP(F22,'2. AWARDS'!$C$9:$O$35,12,FALSE)&lt;&gt;0),"date missing",IF(AND(N22=0,E22='2. AWARDS'!J$7,VLOOKUP(F22,'2. AWARDS'!$C$9:$O$35,13,FALSE)&lt;&gt;0),"date missing",IF(N22=0,0,IF(OR(N22=MIN(O22,Q22),AND(N22&lt;O22,N22&lt;Q22,N22&gt;0)),IF(E22='2. AWARDS'!F$7,VLOOKUP(F22,'2. AWARDS'!$C$9:$O$35,9,FALSE),IF(E22='2. AWARDS'!G$7,VLOOKUP(F22,'2. AWARDS'!$C$9:$O$35,10,FALSE),IF(E22='2. AWARDS'!H$7,VLOOKUP(F22,'2. AWARDS'!$C$9:$O$35,11,FALSE),IF(E22='2. AWARDS'!I$7,VLOOKUP(F22,'2. AWARDS'!$C$9:$O$35,12,FALSE),IF(E22='2. AWARDS'!J$7,VLOOKUP(F22,'2. AWARDS'!$C$9:$O$35,13,FALSE)))))),IF(AND(N22&gt;O22,N22&lt;Q22),IF(E22='2. AWARDS'!F$7,(1+P22)*VLOOKUP(F22,'2. AWARDS'!$C$9:$O$35,9,FALSE),IF(E22='2. AWARDS'!G$7,(1+P22)*VLOOKUP(F22,'2. AWARDS'!$C$9:$O$35,10,FALSE),IF(E22='2. AWARDS'!H$7,(1+P22)*VLOOKUP(F22,'2. AWARDS'!$C$9:$O$35,11,FALSE),IF(E22='2. AWARDS'!I$7,(1+P22)*VLOOKUP(F22,'2. AWARDS'!$C$9:$O$35,12,FALSE),IF(E22='2. AWARDS'!J$7,(1+P22)*VLOOKUP(F22,'2. AWARDS'!$C$9:$O$35,13,FALSE)))))),IF(AND(N22&lt;O22,N22&gt;Q22),IF(E22='2. AWARDS'!F$7,(1+(R22/9))*VLOOKUP(F22,'2. AWARDS'!$C$9:$O$35,9,FALSE),IF(E22='2. AWARDS'!G$7,(1+(R22/9))*VLOOKUP(F22,'2. AWARDS'!$C$9:$O$35,10,FALSE),IF(E22='2. AWARDS'!H$7,(1+(R22/9))*VLOOKUP(F22,'2. AWARDS'!$C$9:$O$35,11,FALSE),IF(E22='2. AWARDS'!I$7,(1+(R22/9))*VLOOKUP(F22,'2. AWARDS'!$C$9:$O$35,12,FALSE),IF(E22='2. AWARDS'!J$7,(1+(R22/9))*VLOOKUP(F22,'2. AWARDS'!$C$9:$O$35,13,FALSE)))))),IF(OR(N22=MAX(O22,Q22),AND(N22&gt;O22,N22&gt;Q22)),IF(E22='2. AWARDS'!F$7,((1+(R22/9))*(1+P22))*VLOOKUP(F22,'2. AWARDS'!$C$9:$O$35,9,FALSE),IF(E22='2. AWARDS'!G$7,((1+(R22/9))*(1+P22))*VLOOKUP(F22,'2. AWARDS'!$C$9:$O$35,10,FALSE),IF(E22='2. AWARDS'!H$7,((1+(R22/9))*(1+P22))*VLOOKUP(F22,'2. AWARDS'!$C$9:$O$35,11,FALSE),IF(E22='2. AWARDS'!I$7,((1+(R22/9))*(1+P22))*VLOOKUP(F22,'2. AWARDS'!$C$9:$O$35,12,FALSE),IF(E22='2. AWARDS'!J$7,((1+(R22/9))*(1+P22))*VLOOKUP(F22,'2. AWARDS'!$C$9:$O$35,13,FALSE)))))),"?")))))))))))</f>
        <v>0</v>
      </c>
      <c r="Z22" s="1093" t="e">
        <f>IF(AND(E22='2. AWARDS'!F15,O22&gt;N22,O22&gt;Q22,VLOOKUP(F22,'2. AWARDS'!$C$9:$O$35,9,FALSE)&lt;&gt;0),VLOOKUP(F22,'2. AWARDS'!$C$9:$O$35,9,FALSE)*(1+P22)*(1+(R22/9)),IF(AND(E22='2. AWARDS'!F15,O22&gt;N22,O22&gt;Q22,VLOOKUP(F22,'2. AWARDS'!$C$9:$O$35,9,FALSE)=0),X22*(1+P22)*(1+(R22/9)),IF(AND(E22='2. AWARDS'!G15,O22&gt;N22,O22&gt;Q22,VLOOKUP(F22,'2. AWARDS'!$C$9:$O$35,10,FALSE)&lt;&gt;0),VLOOKUP(F22,'2. AWARDS'!$C$9:$O$35,10,FALSE)*(1+P22)*(1+(R22/9)),IF(AND(E22='2. AWARDS'!G15,O22&gt;N22,O22&gt;Q22,VLOOKUP(F22,'2. AWARDS'!$C$9:$O$35,10,FALSE)=0),X22*(1+P22)*(1+(R22/9)),IF(AND(E22='2. AWARDS'!H15,O22&gt;N22,O22&gt;Q22,VLOOKUP(F22,'2. AWARDS'!$C$9:$O$35,11,FALSE)&lt;&gt;0),VLOOKUP(F22,'2. AWARDS'!$C$9:$O$35,11,FALSE)*(1+P22)*(1+(R22/9)),IF(AND(E22='2. AWARDS'!H15,O22&gt;N22,O22&gt;Q22,VLOOKUP(F22,'2. AWARDS'!$C$9:$O$35,11,FALSE)=0),X22*(1+P22)*(1+(R22/9)),IF(AND(E22='2. AWARDS'!I15,O22&gt;N22,O22&gt;Q22,VLOOKUP(F22,'2. AWARDS'!$C$9:$O$35,12,FALSE)&lt;&gt;0),VLOOKUP(F22,'2. AWARDS'!$C$9:$O$35,12,FALSE)*(1+P22)*(1+(R22/9)),IF(AND(E22='2. AWARDS'!I15,O22&gt;N22,O22&gt;Q22,VLOOKUP(F22,'2. AWARDS'!$C$9:$O$35,12,FALSE)=0),X22*(1+P22)*(1+(R22/9)),IF(AND(E22='2. AWARDS'!J15,O22&gt;N22,O22&gt;Q22,VLOOKUP(F22,'2. AWARDS'!$C$9:$O$35,13,FALSE)&lt;&gt;0),VLOOKUP(F22,'2. AWARDS'!$C$9:$O$35,13,FALSE)*(1+P22)*(1+(R22/9)),IF(AND(E22='2. AWARDS'!J15,O22&gt;N22,O22&gt;Q22,VLOOKUP(F22,'2. AWARDS'!$C$9:$O$35,13,FALSE)=0),X22*(1+P22)*(1+(R22/9)),IF(AND(O22&lt;N22,O22&gt;Q22),X22*(1+P22)*(1+(R22/9)),IF(AND(E22='2. AWARDS'!F15,O22=MAX(N22,Q22),VLOOKUP(F22,'2. AWARDS'!$C$9:$O$35,9,FALSE)&lt;&gt;0),VLOOKUP(F22,'2. AWARDS'!$C$9:$O$35,9,FALSE)*(1+P22)*(1+(R22/9)),IF(AND(E22='2. AWARDS'!F15,O22=MAX(N22,Q22),VLOOKUP(F22,'2. AWARDS'!$C$9:$O$35,9,FALSE)=0),X22*(1+P22)*(1+(R22/9)),IF(AND(E22='2. AWARDS'!G15,O22=MAX(N22,Q22),VLOOKUP(F22,'2. AWARDS'!$C$9:$O$35,10,FALSE)&lt;&gt;0),VLOOKUP(F22,'2. AWARDS'!$C$9:$O$35,10,FALSE)*(1+P22)*(1+(R22/9)),IF(AND(E22='2. AWARDS'!G15,O22=MAX(N22,Q22),VLOOKUP(F22,'2. AWARDS'!$C$9:$O$35,10,FALSE)=0),X22*(1+P22)*(1+(R22/9)),IF(AND(E22='2. AWARDS'!H15,O22=MAX(N22,Q22),VLOOKUP(F22,'2. AWARDS'!$C$9:$O$35,11,FALSE)&lt;&gt;0),VLOOKUP(F22,'2. AWARDS'!$C$9:$O$35,11,FALSE)*(1+P22)*(1+(R22/9)),IF(AND(E22='2. AWARDS'!H15,O22=MAX(N22,Q22),VLOOKUP(F22,'2. AWARDS'!$C$9:$O$35,11,FALSE)=0),X22*(1+P22)*(1+(R22/9)),IF(AND(E22='2. AWARDS'!I15,O22=MAX(N22,Q22),VLOOKUP(F22,'2. AWARDS'!$C$9:$O$35,12,FALSE)&lt;&gt;0),VLOOKUP(F22,'2. AWARDS'!$C$9:$O$35,12,FALSE)*(1+P22)*(1+(R22/9)),IF(AND(E22='2. AWARDS'!I15,O22=MAX(N22,Q22),VLOOKUP(F22,'2. AWARDS'!$C$9:$O$35,12,FALSE)=0),X22*(1+P22)*(1+(R22/9)),IF(AND(E22='2. AWARDS'!J15,O22=MAX(N22,Q22),VLOOKUP(F22,'2. AWARDS'!$C$9:$O$35,13,FALSE)&lt;&gt;0),VLOOKUP(F22,'2. AWARDS'!$C$9:$O$35,13,FALSE)*(1+P22)*(1+(R22/9)),IF(AND(E22='2. AWARDS'!J15,O22=MAX(N22,Q22),VLOOKUP(F22,'2. AWARDS'!$C$9:$O$35,13,FALSE)=0),X22*(1+P22)*(1+(R22/9)),IF(AND(O22&lt;N22,O22&lt;Q22),X22*(1+P22),IF(AND(O22=N22,N22&lt;Q22,E22='2. AWARDS'!F15),VLOOKUP(F22,'2. AWARDS'!$C$9:$O$35,9,FALSE)*(1+P22),IF(AND(O22=N22,N22&lt;Q22,E22='2. AWARDS'!G15),VLOOKUP(F22,'2. AWARDS'!$C$9:$O$35,10,FALSE)*(1+P22),IF(AND(O22=N22,N22&lt;Q22,E22='2. AWARDS'!H15),VLOOKUP(F22,'2. AWARDS'!$C$9:$O$35,11,FALSE)*(1+P22),IF(AND(O22=N22,N22&lt;Q22,E22='2. AWARDS'!I15),VLOOKUP(F22,'2. AWARDS'!$C$9:$O$35,12,FALSE)*(1+P22),IF(AND(O22=N22,N22&lt;Q22,E22='2. AWARDS'!J15),VLOOKUP(F22,'2. AWARDS'!$C$9:$O$35,13,FALSE)*(1+P22),IF(AND(O22=Q22,N22&gt;Q22),X22*(1+P22)*(1+(R22/9)),IF(AND(E22='2. AWARDS'!F15,O22&gt;N22,O22&lt;Q22,VLOOKUP(F22,'2. AWARDS'!$C$9:$O$35,9,FALSE)&lt;&gt;0),VLOOKUP(F22,'2. AWARDS'!$C$9:$O$35,9,FALSE)*(1+P22),IF(AND(E22='2. AWARDS'!G15,O22&gt;N22,O22&lt;Q22,VLOOKUP(F22,'2. AWARDS'!$C$9:$O$35,10,FALSE)&lt;&gt;0),VLOOKUP(F22,'2. AWARDS'!$C$9:$O$35,10,FALSE)*(1+P22),IF(AND(E22='2. AWARDS'!H15,O22&gt;N22,O22&lt;Q22,VLOOKUP(F22,'2. AWARDS'!$C$9:$O$35,11,FALSE)&lt;&gt;0),VLOOKUP(F22,'2. AWARDS'!$C$9:$O$35,11,FALSE)*(1+P22),IF(AND(E22='2. AWARDS'!I15,O22&gt;N22,O22&lt;Q22,VLOOKUP(F22,'2. AWARDS'!$C$9:$O$35,12,FALSE)&lt;&gt;0),VLOOKUP(F22,'2. AWARDS'!$C$9:$O$35,12,FALSE)*(1+P22),IF(AND(E22='2. AWARDS'!J15,O22&gt;N22,O22&lt;Q22,VLOOKUP(F22,'2. AWARDS'!$C$9:$O$35,13,FALSE)&lt;&gt;0),VLOOKUP(F22,'2. AWARDS'!$C$9:$O$35,13,FALSE)*(1+P22),X22*(1+P22))))))))))))))))))))))))))))))))))</f>
        <v>#N/A</v>
      </c>
      <c r="AA22" s="661" t="e">
        <f t="shared" si="35"/>
        <v>#N/A</v>
      </c>
      <c r="AB22" s="683"/>
      <c r="AC22" s="774"/>
      <c r="AD22" s="774"/>
      <c r="AE22" s="777"/>
      <c r="AF22" s="781">
        <f t="shared" si="20"/>
        <v>0</v>
      </c>
      <c r="AG22" s="781" t="e">
        <f>HLOOKUP(E22,'2. AWARDS'!$F$7:$J$40,32,FALSE)/5*HLOOKUP(E22,'2. AWARDS'!$F$7:$J$40,31,FALSE)*MAX(W22:AA22)*M22*HLOOKUP(E22,'2. AWARDS'!$F$7:$J$40,34,FALSE)*(L22/(38*2))</f>
        <v>#N/A</v>
      </c>
      <c r="AH22" s="783" t="e">
        <f>((HLOOKUP(E22,'2. AWARDS'!$F$7:$J$42,36,FALSE)/HLOOKUP(E22,'2. AWARDS'!$F$7:$J$42,35,FALSE)*HLOOKUP(E22,'2. AWARDS'!$F$7:$J$45,39,FALSE))/(HLOOKUP(E22,'2. AWARDS'!$F$7:$J$45,31,FALSE)*2)*L22*M22*HLOOKUP(E22,'2. AWARDS'!$F$7:$J$45,31,FALSE)*MAX(W22:AA22))</f>
        <v>#N/A</v>
      </c>
      <c r="AI22" s="474"/>
      <c r="AJ22" s="804"/>
      <c r="AK22" s="804"/>
      <c r="AL22" s="801"/>
      <c r="AM22" s="802"/>
      <c r="AN22" s="1011"/>
      <c r="AO22" s="836">
        <f>IF(AJ22="YES",HLOOKUP(E22,'2. AWARDS'!$F$7:$J$38,32,FALSE)/5*HLOOKUP(E22,'2. AWARDS'!$F$7:$J$37,31,FALSE)*L22/(HLOOKUP(E22,'2. AWARDS'!$F$7:$J$37,31,FALSE)*2)*M22*MAX(W22:AA22)*(1+HLOOKUP(E22,'2. AWARDS'!$F$7:$J$43,37,FALSE))*(1-AM22),0)</f>
        <v>0</v>
      </c>
      <c r="AP22" s="836">
        <f>IF(AK22="YES",HLOOKUP(E22,'2. AWARDS'!$F$7:$J$39,33,FALSE)/5*HLOOKUP(E22,'2. AWARDS'!$F$7:$J$37,31,FALSE)*L22/(HLOOKUP(E22,'2. AWARDS'!$F$7:$J$37,31,FALSE)*2)*M22*MAX(W22:AA22)*(1+HLOOKUP(E22,'2. AWARDS'!$F$7:$J$43,37,FALSE))*(1-AM22),0)</f>
        <v>0</v>
      </c>
      <c r="AQ22" s="838">
        <f>IF(AL22="YES",HLOOKUP(E22,'2. AWARDS'!$F$7:$J$47,40,FALSE)/5*HLOOKUP(E22,'2. AWARDS'!$F$7:$J$37,31,FALSE)*L22/(HLOOKUP(E22,'2. AWARDS'!$F$7:$J$37,31,FALSE)*2)*M22*MAX(W22:AA22)*(1+HLOOKUP(E22,'2. AWARDS'!$F$7:$J$43,37,FALSE))*(1-AM22),0)</f>
        <v>0</v>
      </c>
      <c r="AR22" s="839">
        <f>(IF(AJ22="YES",HLOOKUP(E22,'2. AWARDS'!$F$7:$J$39,32,FALSE),0)+IF(AK22="YES",HLOOKUP(E22,'2. AWARDS'!$F$7:$J$39,33,FALSE),0)+IF(AL22="YES",HLOOKUP(E22,'2. AWARDS'!$F$7:$J$47,40,FALSE),0))*L22/76*7.6*AM22*AN22*M22</f>
        <v>0</v>
      </c>
      <c r="AS22" s="683"/>
      <c r="AT22" s="802">
        <f>'1. KEY DATA'!J$29</f>
        <v>0</v>
      </c>
      <c r="AU22" s="822">
        <f>'1. KEY DATA'!J$30</f>
        <v>0.09</v>
      </c>
      <c r="AV22" s="502"/>
      <c r="AW22" s="899">
        <f t="shared" si="21"/>
        <v>0</v>
      </c>
      <c r="AX22" s="502"/>
      <c r="AY22" s="230"/>
      <c r="AZ22" s="233"/>
      <c r="BA22" s="233"/>
      <c r="BB22" s="233"/>
      <c r="BC22" s="233"/>
      <c r="BD22" s="233"/>
      <c r="BE22" s="233"/>
      <c r="BF22" s="233"/>
      <c r="BG22" s="233"/>
      <c r="BH22" s="233"/>
      <c r="BI22" s="1392"/>
      <c r="BJ22" s="1393"/>
      <c r="BK22" s="1393"/>
      <c r="BL22" s="1394"/>
      <c r="BM22" s="301">
        <f t="shared" si="22"/>
        <v>1</v>
      </c>
      <c r="BO22" s="244">
        <f t="shared" si="23"/>
        <v>0</v>
      </c>
      <c r="BP22" s="245">
        <f t="shared" si="24"/>
        <v>0</v>
      </c>
      <c r="BQ22" s="245">
        <f t="shared" si="25"/>
        <v>0</v>
      </c>
      <c r="BR22" s="245">
        <f t="shared" si="26"/>
        <v>0</v>
      </c>
      <c r="BS22" s="245">
        <f t="shared" si="27"/>
        <v>0</v>
      </c>
      <c r="BT22" s="245">
        <f t="shared" si="28"/>
        <v>0</v>
      </c>
      <c r="BU22" s="245">
        <f t="shared" si="29"/>
        <v>0</v>
      </c>
      <c r="BV22" s="245">
        <f t="shared" si="30"/>
        <v>0</v>
      </c>
      <c r="BW22" s="245">
        <f t="shared" si="31"/>
        <v>0</v>
      </c>
      <c r="BX22" s="246">
        <f t="shared" si="32"/>
        <v>0</v>
      </c>
      <c r="BY22" s="1380"/>
      <c r="BZ22" s="1381"/>
      <c r="CA22" s="1381"/>
      <c r="CB22" s="1382"/>
    </row>
    <row r="23" spans="1:80" ht="15.75" thickBot="1">
      <c r="A23">
        <f t="shared" si="0"/>
        <v>10</v>
      </c>
      <c r="B23" s="217"/>
      <c r="C23" s="214"/>
      <c r="D23" s="699">
        <f t="shared" si="33"/>
        <v>0</v>
      </c>
      <c r="E23" s="626"/>
      <c r="F23" s="900"/>
      <c r="G23" s="702"/>
      <c r="H23" s="693"/>
      <c r="I23" s="694"/>
      <c r="J23" s="1113"/>
      <c r="K23" s="1114"/>
      <c r="L23" s="1108"/>
      <c r="M23" s="689"/>
      <c r="N23" s="628"/>
      <c r="O23" s="629"/>
      <c r="P23" s="638">
        <f t="shared" si="36"/>
        <v>0.03</v>
      </c>
      <c r="Q23" s="629"/>
      <c r="R23" s="673" t="str">
        <f t="shared" si="17"/>
        <v>-</v>
      </c>
      <c r="S23" s="649"/>
      <c r="T23" s="647"/>
      <c r="U23" s="827"/>
      <c r="V23" s="670"/>
      <c r="W23" s="798">
        <f t="shared" si="18"/>
        <v>0</v>
      </c>
      <c r="X23" s="656">
        <f>IF(OR(E23=0,F23=0),0,IF(E23='2. AWARDS'!F$7,VLOOKUP(F23,'2. AWARDS'!$C$9:$F$35,4,FALSE),IF(E23='2. AWARDS'!G$7,VLOOKUP(F23,'2. AWARDS'!$C$9:$G$35,5,FALSE),IF(E23='2. AWARDS'!H$7,VLOOKUP(F23,'2. AWARDS'!$C$9:$H$35,6,FALSE),IF(E23='2. AWARDS'!I$7,VLOOKUP(F23,'2. AWARDS'!$C$9:$I$35,7,FALSE),VLOOKUP(F23,'2. AWARDS'!$C$9:$J$35,8,FALSE))))))</f>
        <v>0</v>
      </c>
      <c r="Y23" s="980">
        <f>IF(OR(E23=0,F23=0),0,IF(AND(N23=0,E23='2. AWARDS'!F$7,VLOOKUP(F23,'2. AWARDS'!$C$9:$O$35,9,FALSE)&lt;&gt;0),"date missing",IF(AND(N23=0,E23='2. AWARDS'!G$7,VLOOKUP(F23,'2. AWARDS'!$C$9:$O$35,10,FALSE)&lt;&gt;0),"date missing",IF(AND(N23=0,E23='2. AWARDS'!H$7,VLOOKUP(F23,'2. AWARDS'!$C$9:$O$35,11,FALSE)&lt;&gt;0),"date missing",IF(AND(N23=0,E23='2. AWARDS'!I$7,VLOOKUP(F23,'2. AWARDS'!$C$9:$O$35,12,FALSE)&lt;&gt;0),"date missing",IF(AND(N23=0,E23='2. AWARDS'!J$7,VLOOKUP(F23,'2. AWARDS'!$C$9:$O$35,13,FALSE)&lt;&gt;0),"date missing",IF(N23=0,0,IF(OR(N23=MIN(O23,Q23),AND(N23&lt;O23,N23&lt;Q23,N23&gt;0)),IF(E23='2. AWARDS'!F$7,VLOOKUP(F23,'2. AWARDS'!$C$9:$O$35,9,FALSE),IF(E23='2. AWARDS'!G$7,VLOOKUP(F23,'2. AWARDS'!$C$9:$O$35,10,FALSE),IF(E23='2. AWARDS'!H$7,VLOOKUP(F23,'2. AWARDS'!$C$9:$O$35,11,FALSE),IF(E23='2. AWARDS'!I$7,VLOOKUP(F23,'2. AWARDS'!$C$9:$O$35,12,FALSE),IF(E23='2. AWARDS'!J$7,VLOOKUP(F23,'2. AWARDS'!$C$9:$O$35,13,FALSE)))))),IF(AND(N23&gt;O23,N23&lt;Q23),IF(E23='2. AWARDS'!F$7,(1+P23)*VLOOKUP(F23,'2. AWARDS'!$C$9:$O$35,9,FALSE),IF(E23='2. AWARDS'!G$7,(1+P23)*VLOOKUP(F23,'2. AWARDS'!$C$9:$O$35,10,FALSE),IF(E23='2. AWARDS'!H$7,(1+P23)*VLOOKUP(F23,'2. AWARDS'!$C$9:$O$35,11,FALSE),IF(E23='2. AWARDS'!I$7,(1+P23)*VLOOKUP(F23,'2. AWARDS'!$C$9:$O$35,12,FALSE),IF(E23='2. AWARDS'!J$7,(1+P23)*VLOOKUP(F23,'2. AWARDS'!$C$9:$O$35,13,FALSE)))))),IF(AND(N23&lt;O23,N23&gt;Q23),IF(E23='2. AWARDS'!F$7,(1+(R23/9))*VLOOKUP(F23,'2. AWARDS'!$C$9:$O$35,9,FALSE),IF(E23='2. AWARDS'!G$7,(1+(R23/9))*VLOOKUP(F23,'2. AWARDS'!$C$9:$O$35,10,FALSE),IF(E23='2. AWARDS'!H$7,(1+(R23/9))*VLOOKUP(F23,'2. AWARDS'!$C$9:$O$35,11,FALSE),IF(E23='2. AWARDS'!I$7,(1+(R23/9))*VLOOKUP(F23,'2. AWARDS'!$C$9:$O$35,12,FALSE),IF(E23='2. AWARDS'!J$7,(1+(R23/9))*VLOOKUP(F23,'2. AWARDS'!$C$9:$O$35,13,FALSE)))))),IF(OR(N23=MAX(O23,Q23),AND(N23&gt;O23,N23&gt;Q23)),IF(E23='2. AWARDS'!F$7,((1+(R23/9))*(1+P23))*VLOOKUP(F23,'2. AWARDS'!$C$9:$O$35,9,FALSE),IF(E23='2. AWARDS'!G$7,((1+(R23/9))*(1+P23))*VLOOKUP(F23,'2. AWARDS'!$C$9:$O$35,10,FALSE),IF(E23='2. AWARDS'!H$7,((1+(R23/9))*(1+P23))*VLOOKUP(F23,'2. AWARDS'!$C$9:$O$35,11,FALSE),IF(E23='2. AWARDS'!I$7,((1+(R23/9))*(1+P23))*VLOOKUP(F23,'2. AWARDS'!$C$9:$O$35,12,FALSE),IF(E23='2. AWARDS'!J$7,((1+(R23/9))*(1+P23))*VLOOKUP(F23,'2. AWARDS'!$C$9:$O$35,13,FALSE)))))),"?")))))))))))</f>
        <v>0</v>
      </c>
      <c r="Z23" s="1093" t="e">
        <f>IF(AND(E23='2. AWARDS'!F16,O23&gt;N23,O23&gt;Q23,VLOOKUP(F23,'2. AWARDS'!$C$9:$O$35,9,FALSE)&lt;&gt;0),VLOOKUP(F23,'2. AWARDS'!$C$9:$O$35,9,FALSE)*(1+P23)*(1+(R23/9)),IF(AND(E23='2. AWARDS'!F16,O23&gt;N23,O23&gt;Q23,VLOOKUP(F23,'2. AWARDS'!$C$9:$O$35,9,FALSE)=0),X23*(1+P23)*(1+(R23/9)),IF(AND(E23='2. AWARDS'!G16,O23&gt;N23,O23&gt;Q23,VLOOKUP(F23,'2. AWARDS'!$C$9:$O$35,10,FALSE)&lt;&gt;0),VLOOKUP(F23,'2. AWARDS'!$C$9:$O$35,10,FALSE)*(1+P23)*(1+(R23/9)),IF(AND(E23='2. AWARDS'!G16,O23&gt;N23,O23&gt;Q23,VLOOKUP(F23,'2. AWARDS'!$C$9:$O$35,10,FALSE)=0),X23*(1+P23)*(1+(R23/9)),IF(AND(E23='2. AWARDS'!H16,O23&gt;N23,O23&gt;Q23,VLOOKUP(F23,'2. AWARDS'!$C$9:$O$35,11,FALSE)&lt;&gt;0),VLOOKUP(F23,'2. AWARDS'!$C$9:$O$35,11,FALSE)*(1+P23)*(1+(R23/9)),IF(AND(E23='2. AWARDS'!H16,O23&gt;N23,O23&gt;Q23,VLOOKUP(F23,'2. AWARDS'!$C$9:$O$35,11,FALSE)=0),X23*(1+P23)*(1+(R23/9)),IF(AND(E23='2. AWARDS'!I16,O23&gt;N23,O23&gt;Q23,VLOOKUP(F23,'2. AWARDS'!$C$9:$O$35,12,FALSE)&lt;&gt;0),VLOOKUP(F23,'2. AWARDS'!$C$9:$O$35,12,FALSE)*(1+P23)*(1+(R23/9)),IF(AND(E23='2. AWARDS'!I16,O23&gt;N23,O23&gt;Q23,VLOOKUP(F23,'2. AWARDS'!$C$9:$O$35,12,FALSE)=0),X23*(1+P23)*(1+(R23/9)),IF(AND(E23='2. AWARDS'!J16,O23&gt;N23,O23&gt;Q23,VLOOKUP(F23,'2. AWARDS'!$C$9:$O$35,13,FALSE)&lt;&gt;0),VLOOKUP(F23,'2. AWARDS'!$C$9:$O$35,13,FALSE)*(1+P23)*(1+(R23/9)),IF(AND(E23='2. AWARDS'!J16,O23&gt;N23,O23&gt;Q23,VLOOKUP(F23,'2. AWARDS'!$C$9:$O$35,13,FALSE)=0),X23*(1+P23)*(1+(R23/9)),IF(AND(O23&lt;N23,O23&gt;Q23),X23*(1+P23)*(1+(R23/9)),IF(AND(E23='2. AWARDS'!F16,O23=MAX(N23,Q23),VLOOKUP(F23,'2. AWARDS'!$C$9:$O$35,9,FALSE)&lt;&gt;0),VLOOKUP(F23,'2. AWARDS'!$C$9:$O$35,9,FALSE)*(1+P23)*(1+(R23/9)),IF(AND(E23='2. AWARDS'!F16,O23=MAX(N23,Q23),VLOOKUP(F23,'2. AWARDS'!$C$9:$O$35,9,FALSE)=0),X23*(1+P23)*(1+(R23/9)),IF(AND(E23='2. AWARDS'!G16,O23=MAX(N23,Q23),VLOOKUP(F23,'2. AWARDS'!$C$9:$O$35,10,FALSE)&lt;&gt;0),VLOOKUP(F23,'2. AWARDS'!$C$9:$O$35,10,FALSE)*(1+P23)*(1+(R23/9)),IF(AND(E23='2. AWARDS'!G16,O23=MAX(N23,Q23),VLOOKUP(F23,'2. AWARDS'!$C$9:$O$35,10,FALSE)=0),X23*(1+P23)*(1+(R23/9)),IF(AND(E23='2. AWARDS'!H16,O23=MAX(N23,Q23),VLOOKUP(F23,'2. AWARDS'!$C$9:$O$35,11,FALSE)&lt;&gt;0),VLOOKUP(F23,'2. AWARDS'!$C$9:$O$35,11,FALSE)*(1+P23)*(1+(R23/9)),IF(AND(E23='2. AWARDS'!H16,O23=MAX(N23,Q23),VLOOKUP(F23,'2. AWARDS'!$C$9:$O$35,11,FALSE)=0),X23*(1+P23)*(1+(R23/9)),IF(AND(E23='2. AWARDS'!I16,O23=MAX(N23,Q23),VLOOKUP(F23,'2. AWARDS'!$C$9:$O$35,12,FALSE)&lt;&gt;0),VLOOKUP(F23,'2. AWARDS'!$C$9:$O$35,12,FALSE)*(1+P23)*(1+(R23/9)),IF(AND(E23='2. AWARDS'!I16,O23=MAX(N23,Q23),VLOOKUP(F23,'2. AWARDS'!$C$9:$O$35,12,FALSE)=0),X23*(1+P23)*(1+(R23/9)),IF(AND(E23='2. AWARDS'!J16,O23=MAX(N23,Q23),VLOOKUP(F23,'2. AWARDS'!$C$9:$O$35,13,FALSE)&lt;&gt;0),VLOOKUP(F23,'2. AWARDS'!$C$9:$O$35,13,FALSE)*(1+P23)*(1+(R23/9)),IF(AND(E23='2. AWARDS'!J16,O23=MAX(N23,Q23),VLOOKUP(F23,'2. AWARDS'!$C$9:$O$35,13,FALSE)=0),X23*(1+P23)*(1+(R23/9)),IF(AND(O23&lt;N23,O23&lt;Q23),X23*(1+P23),IF(AND(O23=N23,N23&lt;Q23,E23='2. AWARDS'!F16),VLOOKUP(F23,'2. AWARDS'!$C$9:$O$35,9,FALSE)*(1+P23),IF(AND(O23=N23,N23&lt;Q23,E23='2. AWARDS'!G16),VLOOKUP(F23,'2. AWARDS'!$C$9:$O$35,10,FALSE)*(1+P23),IF(AND(O23=N23,N23&lt;Q23,E23='2. AWARDS'!H16),VLOOKUP(F23,'2. AWARDS'!$C$9:$O$35,11,FALSE)*(1+P23),IF(AND(O23=N23,N23&lt;Q23,E23='2. AWARDS'!I16),VLOOKUP(F23,'2. AWARDS'!$C$9:$O$35,12,FALSE)*(1+P23),IF(AND(O23=N23,N23&lt;Q23,E23='2. AWARDS'!J16),VLOOKUP(F23,'2. AWARDS'!$C$9:$O$35,13,FALSE)*(1+P23),IF(AND(O23=Q23,N23&gt;Q23),X23*(1+P23)*(1+(R23/9)),IF(AND(E23='2. AWARDS'!F16,O23&gt;N23,O23&lt;Q23,VLOOKUP(F23,'2. AWARDS'!$C$9:$O$35,9,FALSE)&lt;&gt;0),VLOOKUP(F23,'2. AWARDS'!$C$9:$O$35,9,FALSE)*(1+P23),IF(AND(E23='2. AWARDS'!G16,O23&gt;N23,O23&lt;Q23,VLOOKUP(F23,'2. AWARDS'!$C$9:$O$35,10,FALSE)&lt;&gt;0),VLOOKUP(F23,'2. AWARDS'!$C$9:$O$35,10,FALSE)*(1+P23),IF(AND(E23='2. AWARDS'!H16,O23&gt;N23,O23&lt;Q23,VLOOKUP(F23,'2. AWARDS'!$C$9:$O$35,11,FALSE)&lt;&gt;0),VLOOKUP(F23,'2. AWARDS'!$C$9:$O$35,11,FALSE)*(1+P23),IF(AND(E23='2. AWARDS'!I16,O23&gt;N23,O23&lt;Q23,VLOOKUP(F23,'2. AWARDS'!$C$9:$O$35,12,FALSE)&lt;&gt;0),VLOOKUP(F23,'2. AWARDS'!$C$9:$O$35,12,FALSE)*(1+P23),IF(AND(E23='2. AWARDS'!J16,O23&gt;N23,O23&lt;Q23,VLOOKUP(F23,'2. AWARDS'!$C$9:$O$35,13,FALSE)&lt;&gt;0),VLOOKUP(F23,'2. AWARDS'!$C$9:$O$35,13,FALSE)*(1+P23),X23*(1+P23))))))))))))))))))))))))))))))))))</f>
        <v>#N/A</v>
      </c>
      <c r="AA23" s="661" t="e">
        <f t="shared" si="35"/>
        <v>#N/A</v>
      </c>
      <c r="AB23" s="683"/>
      <c r="AC23" s="774"/>
      <c r="AD23" s="774"/>
      <c r="AE23" s="777"/>
      <c r="AF23" s="781">
        <f t="shared" si="20"/>
        <v>0</v>
      </c>
      <c r="AG23" s="781" t="e">
        <f>HLOOKUP(E23,'2. AWARDS'!$F$7:$J$40,32,FALSE)/5*HLOOKUP(E23,'2. AWARDS'!$F$7:$J$40,31,FALSE)*MAX(W23:AA23)*M23*HLOOKUP(E23,'2. AWARDS'!$F$7:$J$40,34,FALSE)*(L23/(38*2))</f>
        <v>#N/A</v>
      </c>
      <c r="AH23" s="783" t="e">
        <f>((HLOOKUP(E23,'2. AWARDS'!$F$7:$J$42,36,FALSE)/HLOOKUP(E23,'2. AWARDS'!$F$7:$J$42,35,FALSE)*HLOOKUP(E23,'2. AWARDS'!$F$7:$J$45,39,FALSE))/(HLOOKUP(E23,'2. AWARDS'!$F$7:$J$45,31,FALSE)*2)*L23*M23*HLOOKUP(E23,'2. AWARDS'!$F$7:$J$45,31,FALSE)*MAX(W23:AA23))</f>
        <v>#N/A</v>
      </c>
      <c r="AI23" s="474"/>
      <c r="AJ23" s="804"/>
      <c r="AK23" s="801"/>
      <c r="AL23" s="801"/>
      <c r="AM23" s="802"/>
      <c r="AN23" s="1012"/>
      <c r="AO23" s="836">
        <f>IF(AJ23="YES",HLOOKUP(E23,'2. AWARDS'!$F$7:$J$38,32,FALSE)/5*HLOOKUP(E23,'2. AWARDS'!$F$7:$J$37,31,FALSE)*L23/(HLOOKUP(E23,'2. AWARDS'!$F$7:$J$37,31,FALSE)*2)*M23*MAX(W23:AA23)*(1+HLOOKUP(E23,'2. AWARDS'!$F$7:$J$43,37,FALSE))*(1-AM23),0)</f>
        <v>0</v>
      </c>
      <c r="AP23" s="836">
        <f>IF(AK23="YES",HLOOKUP(E23,'2. AWARDS'!$F$7:$J$39,33,FALSE)/5*HLOOKUP(E23,'2. AWARDS'!$F$7:$J$37,31,FALSE)*L23/(HLOOKUP(E23,'2. AWARDS'!$F$7:$J$37,31,FALSE)*2)*M23*MAX(W23:AA23)*(1+HLOOKUP(E23,'2. AWARDS'!$F$7:$J$43,37,FALSE))*(1-AM23),0)</f>
        <v>0</v>
      </c>
      <c r="AQ23" s="838">
        <f>IF(AL23="YES",HLOOKUP(E23,'2. AWARDS'!$F$7:$J$47,40,FALSE)/5*HLOOKUP(E23,'2. AWARDS'!$F$7:$J$37,31,FALSE)*L23/(HLOOKUP(E23,'2. AWARDS'!$F$7:$J$37,31,FALSE)*2)*M23*MAX(W23:AA23)*(1+HLOOKUP(E23,'2. AWARDS'!$F$7:$J$43,37,FALSE))*(1-AM23),0)</f>
        <v>0</v>
      </c>
      <c r="AR23" s="839">
        <f>(IF(AJ23="YES",HLOOKUP(E23,'2. AWARDS'!$F$7:$J$39,32,FALSE),0)+IF(AK23="YES",HLOOKUP(E23,'2. AWARDS'!$F$7:$J$39,33,FALSE),0)+IF(AL23="YES",HLOOKUP(E23,'2. AWARDS'!$F$7:$J$47,40,FALSE),0))*L23/76*7.6*AM23*AN23*M23</f>
        <v>0</v>
      </c>
      <c r="AS23" s="683"/>
      <c r="AT23" s="802">
        <f>'1. KEY DATA'!J$29</f>
        <v>0</v>
      </c>
      <c r="AU23" s="822">
        <f>'1. KEY DATA'!J$30</f>
        <v>0.09</v>
      </c>
      <c r="AV23" s="502"/>
      <c r="AW23" s="899">
        <f t="shared" si="21"/>
        <v>0</v>
      </c>
      <c r="AX23" s="502"/>
      <c r="AY23" s="477"/>
      <c r="AZ23" s="233"/>
      <c r="BA23" s="233"/>
      <c r="BB23" s="233"/>
      <c r="BC23" s="233"/>
      <c r="BD23" s="233"/>
      <c r="BE23" s="233"/>
      <c r="BF23" s="233"/>
      <c r="BG23" s="233"/>
      <c r="BH23" s="233"/>
      <c r="BI23" s="1392"/>
      <c r="BJ23" s="1393"/>
      <c r="BK23" s="1393"/>
      <c r="BL23" s="1394"/>
      <c r="BM23" s="301">
        <f t="shared" si="22"/>
        <v>1</v>
      </c>
      <c r="BO23" s="244">
        <f t="shared" si="23"/>
        <v>0</v>
      </c>
      <c r="BP23" s="245">
        <f t="shared" si="24"/>
        <v>0</v>
      </c>
      <c r="BQ23" s="245">
        <f t="shared" si="25"/>
        <v>0</v>
      </c>
      <c r="BR23" s="245">
        <f t="shared" si="26"/>
        <v>0</v>
      </c>
      <c r="BS23" s="245">
        <f t="shared" si="27"/>
        <v>0</v>
      </c>
      <c r="BT23" s="245">
        <f t="shared" si="28"/>
        <v>0</v>
      </c>
      <c r="BU23" s="245">
        <f t="shared" si="29"/>
        <v>0</v>
      </c>
      <c r="BV23" s="245">
        <f t="shared" si="30"/>
        <v>0</v>
      </c>
      <c r="BW23" s="245">
        <f t="shared" si="31"/>
        <v>0</v>
      </c>
      <c r="BX23" s="246">
        <f t="shared" si="32"/>
        <v>0</v>
      </c>
      <c r="BY23" s="1380"/>
      <c r="BZ23" s="1381"/>
      <c r="CA23" s="1381"/>
      <c r="CB23" s="1382"/>
    </row>
    <row r="24" spans="1:80" ht="15.75" thickBot="1">
      <c r="A24">
        <f t="shared" si="0"/>
        <v>11</v>
      </c>
      <c r="B24" s="217"/>
      <c r="C24" s="214"/>
      <c r="D24" s="699">
        <f t="shared" si="33"/>
        <v>0</v>
      </c>
      <c r="E24" s="626"/>
      <c r="F24" s="900"/>
      <c r="G24" s="702"/>
      <c r="H24" s="693"/>
      <c r="I24" s="694"/>
      <c r="J24" s="1113"/>
      <c r="K24" s="1114"/>
      <c r="L24" s="1109"/>
      <c r="M24" s="689"/>
      <c r="N24" s="628"/>
      <c r="O24" s="629"/>
      <c r="P24" s="638">
        <f t="shared" si="36"/>
        <v>0.03</v>
      </c>
      <c r="Q24" s="629"/>
      <c r="R24" s="673" t="str">
        <f t="shared" si="17"/>
        <v>-</v>
      </c>
      <c r="S24" s="649"/>
      <c r="T24" s="647"/>
      <c r="U24" s="827"/>
      <c r="V24" s="670"/>
      <c r="W24" s="798">
        <f t="shared" si="18"/>
        <v>0</v>
      </c>
      <c r="X24" s="656">
        <f>IF(OR(E24=0,F24=0),0,IF(E24='2. AWARDS'!F$7,VLOOKUP(F24,'2. AWARDS'!$C$9:$F$35,4,FALSE),IF(E24='2. AWARDS'!G$7,VLOOKUP(F24,'2. AWARDS'!$C$9:$G$35,5,FALSE),IF(E24='2. AWARDS'!H$7,VLOOKUP(F24,'2. AWARDS'!$C$9:$H$35,6,FALSE),IF(E24='2. AWARDS'!I$7,VLOOKUP(F24,'2. AWARDS'!$C$9:$I$35,7,FALSE),VLOOKUP(F24,'2. AWARDS'!$C$9:$J$35,8,FALSE))))))</f>
        <v>0</v>
      </c>
      <c r="Y24" s="980">
        <f>IF(OR(E24=0,F24=0),0,IF(AND(N24=0,E24='2. AWARDS'!F$7,VLOOKUP(F24,'2. AWARDS'!$C$9:$O$35,9,FALSE)&lt;&gt;0),"date missing",IF(AND(N24=0,E24='2. AWARDS'!G$7,VLOOKUP(F24,'2. AWARDS'!$C$9:$O$35,10,FALSE)&lt;&gt;0),"date missing",IF(AND(N24=0,E24='2. AWARDS'!H$7,VLOOKUP(F24,'2. AWARDS'!$C$9:$O$35,11,FALSE)&lt;&gt;0),"date missing",IF(AND(N24=0,E24='2. AWARDS'!I$7,VLOOKUP(F24,'2. AWARDS'!$C$9:$O$35,12,FALSE)&lt;&gt;0),"date missing",IF(AND(N24=0,E24='2. AWARDS'!J$7,VLOOKUP(F24,'2. AWARDS'!$C$9:$O$35,13,FALSE)&lt;&gt;0),"date missing",IF(N24=0,0,IF(OR(N24=MIN(O24,Q24),AND(N24&lt;O24,N24&lt;Q24,N24&gt;0)),IF(E24='2. AWARDS'!F$7,VLOOKUP(F24,'2. AWARDS'!$C$9:$O$35,9,FALSE),IF(E24='2. AWARDS'!G$7,VLOOKUP(F24,'2. AWARDS'!$C$9:$O$35,10,FALSE),IF(E24='2. AWARDS'!H$7,VLOOKUP(F24,'2. AWARDS'!$C$9:$O$35,11,FALSE),IF(E24='2. AWARDS'!I$7,VLOOKUP(F24,'2. AWARDS'!$C$9:$O$35,12,FALSE),IF(E24='2. AWARDS'!J$7,VLOOKUP(F24,'2. AWARDS'!$C$9:$O$35,13,FALSE)))))),IF(AND(N24&gt;O24,N24&lt;Q24),IF(E24='2. AWARDS'!F$7,(1+P24)*VLOOKUP(F24,'2. AWARDS'!$C$9:$O$35,9,FALSE),IF(E24='2. AWARDS'!G$7,(1+P24)*VLOOKUP(F24,'2. AWARDS'!$C$9:$O$35,10,FALSE),IF(E24='2. AWARDS'!H$7,(1+P24)*VLOOKUP(F24,'2. AWARDS'!$C$9:$O$35,11,FALSE),IF(E24='2. AWARDS'!I$7,(1+P24)*VLOOKUP(F24,'2. AWARDS'!$C$9:$O$35,12,FALSE),IF(E24='2. AWARDS'!J$7,(1+P24)*VLOOKUP(F24,'2. AWARDS'!$C$9:$O$35,13,FALSE)))))),IF(AND(N24&lt;O24,N24&gt;Q24),IF(E24='2. AWARDS'!F$7,(1+(R24/9))*VLOOKUP(F24,'2. AWARDS'!$C$9:$O$35,9,FALSE),IF(E24='2. AWARDS'!G$7,(1+(R24/9))*VLOOKUP(F24,'2. AWARDS'!$C$9:$O$35,10,FALSE),IF(E24='2. AWARDS'!H$7,(1+(R24/9))*VLOOKUP(F24,'2. AWARDS'!$C$9:$O$35,11,FALSE),IF(E24='2. AWARDS'!I$7,(1+(R24/9))*VLOOKUP(F24,'2. AWARDS'!$C$9:$O$35,12,FALSE),IF(E24='2. AWARDS'!J$7,(1+(R24/9))*VLOOKUP(F24,'2. AWARDS'!$C$9:$O$35,13,FALSE)))))),IF(OR(N24=MAX(O24,Q24),AND(N24&gt;O24,N24&gt;Q24)),IF(E24='2. AWARDS'!F$7,((1+(R24/9))*(1+P24))*VLOOKUP(F24,'2. AWARDS'!$C$9:$O$35,9,FALSE),IF(E24='2. AWARDS'!G$7,((1+(R24/9))*(1+P24))*VLOOKUP(F24,'2. AWARDS'!$C$9:$O$35,10,FALSE),IF(E24='2. AWARDS'!H$7,((1+(R24/9))*(1+P24))*VLOOKUP(F24,'2. AWARDS'!$C$9:$O$35,11,FALSE),IF(E24='2. AWARDS'!I$7,((1+(R24/9))*(1+P24))*VLOOKUP(F24,'2. AWARDS'!$C$9:$O$35,12,FALSE),IF(E24='2. AWARDS'!J$7,((1+(R24/9))*(1+P24))*VLOOKUP(F24,'2. AWARDS'!$C$9:$O$35,13,FALSE)))))),"?")))))))))))</f>
        <v>0</v>
      </c>
      <c r="Z24" s="1093" t="e">
        <f>IF(AND(E24='2. AWARDS'!F17,O24&gt;N24,O24&gt;Q24,VLOOKUP(F24,'2. AWARDS'!$C$9:$O$35,9,FALSE)&lt;&gt;0),VLOOKUP(F24,'2. AWARDS'!$C$9:$O$35,9,FALSE)*(1+P24)*(1+(R24/9)),IF(AND(E24='2. AWARDS'!F17,O24&gt;N24,O24&gt;Q24,VLOOKUP(F24,'2. AWARDS'!$C$9:$O$35,9,FALSE)=0),X24*(1+P24)*(1+(R24/9)),IF(AND(E24='2. AWARDS'!G17,O24&gt;N24,O24&gt;Q24,VLOOKUP(F24,'2. AWARDS'!$C$9:$O$35,10,FALSE)&lt;&gt;0),VLOOKUP(F24,'2. AWARDS'!$C$9:$O$35,10,FALSE)*(1+P24)*(1+(R24/9)),IF(AND(E24='2. AWARDS'!G17,O24&gt;N24,O24&gt;Q24,VLOOKUP(F24,'2. AWARDS'!$C$9:$O$35,10,FALSE)=0),X24*(1+P24)*(1+(R24/9)),IF(AND(E24='2. AWARDS'!H17,O24&gt;N24,O24&gt;Q24,VLOOKUP(F24,'2. AWARDS'!$C$9:$O$35,11,FALSE)&lt;&gt;0),VLOOKUP(F24,'2. AWARDS'!$C$9:$O$35,11,FALSE)*(1+P24)*(1+(R24/9)),IF(AND(E24='2. AWARDS'!H17,O24&gt;N24,O24&gt;Q24,VLOOKUP(F24,'2. AWARDS'!$C$9:$O$35,11,FALSE)=0),X24*(1+P24)*(1+(R24/9)),IF(AND(E24='2. AWARDS'!I17,O24&gt;N24,O24&gt;Q24,VLOOKUP(F24,'2. AWARDS'!$C$9:$O$35,12,FALSE)&lt;&gt;0),VLOOKUP(F24,'2. AWARDS'!$C$9:$O$35,12,FALSE)*(1+P24)*(1+(R24/9)),IF(AND(E24='2. AWARDS'!I17,O24&gt;N24,O24&gt;Q24,VLOOKUP(F24,'2. AWARDS'!$C$9:$O$35,12,FALSE)=0),X24*(1+P24)*(1+(R24/9)),IF(AND(E24='2. AWARDS'!J17,O24&gt;N24,O24&gt;Q24,VLOOKUP(F24,'2. AWARDS'!$C$9:$O$35,13,FALSE)&lt;&gt;0),VLOOKUP(F24,'2. AWARDS'!$C$9:$O$35,13,FALSE)*(1+P24)*(1+(R24/9)),IF(AND(E24='2. AWARDS'!J17,O24&gt;N24,O24&gt;Q24,VLOOKUP(F24,'2. AWARDS'!$C$9:$O$35,13,FALSE)=0),X24*(1+P24)*(1+(R24/9)),IF(AND(O24&lt;N24,O24&gt;Q24),X24*(1+P24)*(1+(R24/9)),IF(AND(E24='2. AWARDS'!F17,O24=MAX(N24,Q24),VLOOKUP(F24,'2. AWARDS'!$C$9:$O$35,9,FALSE)&lt;&gt;0),VLOOKUP(F24,'2. AWARDS'!$C$9:$O$35,9,FALSE)*(1+P24)*(1+(R24/9)),IF(AND(E24='2. AWARDS'!F17,O24=MAX(N24,Q24),VLOOKUP(F24,'2. AWARDS'!$C$9:$O$35,9,FALSE)=0),X24*(1+P24)*(1+(R24/9)),IF(AND(E24='2. AWARDS'!G17,O24=MAX(N24,Q24),VLOOKUP(F24,'2. AWARDS'!$C$9:$O$35,10,FALSE)&lt;&gt;0),VLOOKUP(F24,'2. AWARDS'!$C$9:$O$35,10,FALSE)*(1+P24)*(1+(R24/9)),IF(AND(E24='2. AWARDS'!G17,O24=MAX(N24,Q24),VLOOKUP(F24,'2. AWARDS'!$C$9:$O$35,10,FALSE)=0),X24*(1+P24)*(1+(R24/9)),IF(AND(E24='2. AWARDS'!H17,O24=MAX(N24,Q24),VLOOKUP(F24,'2. AWARDS'!$C$9:$O$35,11,FALSE)&lt;&gt;0),VLOOKUP(F24,'2. AWARDS'!$C$9:$O$35,11,FALSE)*(1+P24)*(1+(R24/9)),IF(AND(E24='2. AWARDS'!H17,O24=MAX(N24,Q24),VLOOKUP(F24,'2. AWARDS'!$C$9:$O$35,11,FALSE)=0),X24*(1+P24)*(1+(R24/9)),IF(AND(E24='2. AWARDS'!I17,O24=MAX(N24,Q24),VLOOKUP(F24,'2. AWARDS'!$C$9:$O$35,12,FALSE)&lt;&gt;0),VLOOKUP(F24,'2. AWARDS'!$C$9:$O$35,12,FALSE)*(1+P24)*(1+(R24/9)),IF(AND(E24='2. AWARDS'!I17,O24=MAX(N24,Q24),VLOOKUP(F24,'2. AWARDS'!$C$9:$O$35,12,FALSE)=0),X24*(1+P24)*(1+(R24/9)),IF(AND(E24='2. AWARDS'!J17,O24=MAX(N24,Q24),VLOOKUP(F24,'2. AWARDS'!$C$9:$O$35,13,FALSE)&lt;&gt;0),VLOOKUP(F24,'2. AWARDS'!$C$9:$O$35,13,FALSE)*(1+P24)*(1+(R24/9)),IF(AND(E24='2. AWARDS'!J17,O24=MAX(N24,Q24),VLOOKUP(F24,'2. AWARDS'!$C$9:$O$35,13,FALSE)=0),X24*(1+P24)*(1+(R24/9)),IF(AND(O24&lt;N24,O24&lt;Q24),X24*(1+P24),IF(AND(O24=N24,N24&lt;Q24,E24='2. AWARDS'!F17),VLOOKUP(F24,'2. AWARDS'!$C$9:$O$35,9,FALSE)*(1+P24),IF(AND(O24=N24,N24&lt;Q24,E24='2. AWARDS'!G17),VLOOKUP(F24,'2. AWARDS'!$C$9:$O$35,10,FALSE)*(1+P24),IF(AND(O24=N24,N24&lt;Q24,E24='2. AWARDS'!H17),VLOOKUP(F24,'2. AWARDS'!$C$9:$O$35,11,FALSE)*(1+P24),IF(AND(O24=N24,N24&lt;Q24,E24='2. AWARDS'!I17),VLOOKUP(F24,'2. AWARDS'!$C$9:$O$35,12,FALSE)*(1+P24),IF(AND(O24=N24,N24&lt;Q24,E24='2. AWARDS'!J17),VLOOKUP(F24,'2. AWARDS'!$C$9:$O$35,13,FALSE)*(1+P24),IF(AND(O24=Q24,N24&gt;Q24),X24*(1+P24)*(1+(R24/9)),IF(AND(E24='2. AWARDS'!F17,O24&gt;N24,O24&lt;Q24,VLOOKUP(F24,'2. AWARDS'!$C$9:$O$35,9,FALSE)&lt;&gt;0),VLOOKUP(F24,'2. AWARDS'!$C$9:$O$35,9,FALSE)*(1+P24),IF(AND(E24='2. AWARDS'!G17,O24&gt;N24,O24&lt;Q24,VLOOKUP(F24,'2. AWARDS'!$C$9:$O$35,10,FALSE)&lt;&gt;0),VLOOKUP(F24,'2. AWARDS'!$C$9:$O$35,10,FALSE)*(1+P24),IF(AND(E24='2. AWARDS'!H17,O24&gt;N24,O24&lt;Q24,VLOOKUP(F24,'2. AWARDS'!$C$9:$O$35,11,FALSE)&lt;&gt;0),VLOOKUP(F24,'2. AWARDS'!$C$9:$O$35,11,FALSE)*(1+P24),IF(AND(E24='2. AWARDS'!I17,O24&gt;N24,O24&lt;Q24,VLOOKUP(F24,'2. AWARDS'!$C$9:$O$35,12,FALSE)&lt;&gt;0),VLOOKUP(F24,'2. AWARDS'!$C$9:$O$35,12,FALSE)*(1+P24),IF(AND(E24='2. AWARDS'!J17,O24&gt;N24,O24&lt;Q24,VLOOKUP(F24,'2. AWARDS'!$C$9:$O$35,13,FALSE)&lt;&gt;0),VLOOKUP(F24,'2. AWARDS'!$C$9:$O$35,13,FALSE)*(1+P24),X24*(1+P24))))))))))))))))))))))))))))))))))</f>
        <v>#N/A</v>
      </c>
      <c r="AA24" s="661" t="e">
        <f t="shared" si="35"/>
        <v>#N/A</v>
      </c>
      <c r="AB24" s="683"/>
      <c r="AC24" s="774"/>
      <c r="AD24" s="774"/>
      <c r="AE24" s="777"/>
      <c r="AF24" s="781">
        <f t="shared" si="20"/>
        <v>0</v>
      </c>
      <c r="AG24" s="781" t="e">
        <f>HLOOKUP(E24,'2. AWARDS'!$F$7:$J$40,32,FALSE)/5*HLOOKUP(E24,'2. AWARDS'!$F$7:$J$40,31,FALSE)*MAX(W24:AA24)*M24*HLOOKUP(E24,'2. AWARDS'!$F$7:$J$40,34,FALSE)*(L24/(38*2))</f>
        <v>#N/A</v>
      </c>
      <c r="AH24" s="783" t="e">
        <f>((HLOOKUP(E24,'2. AWARDS'!$F$7:$J$42,36,FALSE)/HLOOKUP(E24,'2. AWARDS'!$F$7:$J$42,35,FALSE)*HLOOKUP(E24,'2. AWARDS'!$F$7:$J$45,39,FALSE))/(HLOOKUP(E24,'2. AWARDS'!$F$7:$J$45,31,FALSE)*2)*L24*M24*HLOOKUP(E24,'2. AWARDS'!$F$7:$J$45,31,FALSE)*MAX(W24:AA24))</f>
        <v>#N/A</v>
      </c>
      <c r="AI24" s="474"/>
      <c r="AJ24" s="804"/>
      <c r="AK24" s="801"/>
      <c r="AL24" s="801"/>
      <c r="AM24" s="802"/>
      <c r="AN24" s="1012"/>
      <c r="AO24" s="836">
        <f>IF(AJ24="YES",HLOOKUP(E24,'2. AWARDS'!$F$7:$J$38,32,FALSE)/5*HLOOKUP(E24,'2. AWARDS'!$F$7:$J$37,31,FALSE)*L24/(HLOOKUP(E24,'2. AWARDS'!$F$7:$J$37,31,FALSE)*2)*M24*MAX(W24:AA24)*(1+HLOOKUP(E24,'2. AWARDS'!$F$7:$J$43,37,FALSE))*(1-AM24),0)</f>
        <v>0</v>
      </c>
      <c r="AP24" s="836">
        <f>IF(AK24="YES",HLOOKUP(E24,'2. AWARDS'!$F$7:$J$39,33,FALSE)/5*HLOOKUP(E24,'2. AWARDS'!$F$7:$J$37,31,FALSE)*L24/(HLOOKUP(E24,'2. AWARDS'!$F$7:$J$37,31,FALSE)*2)*M24*MAX(W24:AA24)*(1+HLOOKUP(E24,'2. AWARDS'!$F$7:$J$43,37,FALSE))*(1-AM24),0)</f>
        <v>0</v>
      </c>
      <c r="AQ24" s="838">
        <f>IF(AL24="YES",HLOOKUP(E24,'2. AWARDS'!$F$7:$J$47,40,FALSE)/5*HLOOKUP(E24,'2. AWARDS'!$F$7:$J$37,31,FALSE)*L24/(HLOOKUP(E24,'2. AWARDS'!$F$7:$J$37,31,FALSE)*2)*M24*MAX(W24:AA24)*(1+HLOOKUP(E24,'2. AWARDS'!$F$7:$J$43,37,FALSE))*(1-AM24),0)</f>
        <v>0</v>
      </c>
      <c r="AR24" s="839">
        <f>(IF(AJ24="YES",HLOOKUP(E24,'2. AWARDS'!$F$7:$J$39,32,FALSE),0)+IF(AK24="YES",HLOOKUP(E24,'2. AWARDS'!$F$7:$J$39,33,FALSE),0)+IF(AL24="YES",HLOOKUP(E24,'2. AWARDS'!$F$7:$J$47,40,FALSE),0))*L24/76*7.6*AM24*AN24*M24</f>
        <v>0</v>
      </c>
      <c r="AS24" s="683"/>
      <c r="AT24" s="802">
        <f>'1. KEY DATA'!J$29</f>
        <v>0</v>
      </c>
      <c r="AU24" s="822">
        <f>'1. KEY DATA'!J$30</f>
        <v>0.09</v>
      </c>
      <c r="AV24" s="502"/>
      <c r="AW24" s="478">
        <f t="shared" si="21"/>
        <v>0</v>
      </c>
      <c r="AX24" s="502"/>
      <c r="AY24" s="477"/>
      <c r="AZ24" s="233"/>
      <c r="BA24" s="233"/>
      <c r="BB24" s="233"/>
      <c r="BC24" s="233"/>
      <c r="BD24" s="233"/>
      <c r="BE24" s="233"/>
      <c r="BF24" s="233"/>
      <c r="BG24" s="233"/>
      <c r="BH24" s="233"/>
      <c r="BI24" s="1392"/>
      <c r="BJ24" s="1393"/>
      <c r="BK24" s="1393"/>
      <c r="BL24" s="1394"/>
      <c r="BM24" s="301">
        <f t="shared" si="22"/>
        <v>1</v>
      </c>
      <c r="BO24" s="244">
        <f t="shared" si="23"/>
        <v>0</v>
      </c>
      <c r="BP24" s="245">
        <f t="shared" si="24"/>
        <v>0</v>
      </c>
      <c r="BQ24" s="245">
        <f t="shared" si="25"/>
        <v>0</v>
      </c>
      <c r="BR24" s="245">
        <f t="shared" si="26"/>
        <v>0</v>
      </c>
      <c r="BS24" s="245">
        <f t="shared" si="27"/>
        <v>0</v>
      </c>
      <c r="BT24" s="245">
        <f t="shared" si="28"/>
        <v>0</v>
      </c>
      <c r="BU24" s="245">
        <f t="shared" si="29"/>
        <v>0</v>
      </c>
      <c r="BV24" s="245">
        <f t="shared" si="30"/>
        <v>0</v>
      </c>
      <c r="BW24" s="245">
        <f t="shared" si="31"/>
        <v>0</v>
      </c>
      <c r="BX24" s="246">
        <f t="shared" si="32"/>
        <v>0</v>
      </c>
      <c r="BY24" s="1380"/>
      <c r="BZ24" s="1381"/>
      <c r="CA24" s="1381"/>
      <c r="CB24" s="1382"/>
    </row>
    <row r="25" spans="1:80" ht="15.75" thickBot="1">
      <c r="A25">
        <f t="shared" si="0"/>
        <v>12</v>
      </c>
      <c r="B25" s="217"/>
      <c r="C25" s="214"/>
      <c r="D25" s="699">
        <f t="shared" si="33"/>
        <v>0</v>
      </c>
      <c r="E25" s="626"/>
      <c r="F25" s="900"/>
      <c r="G25" s="702"/>
      <c r="H25" s="693"/>
      <c r="I25" s="694"/>
      <c r="J25" s="1113"/>
      <c r="K25" s="1114"/>
      <c r="L25" s="1109"/>
      <c r="M25" s="689"/>
      <c r="N25" s="628"/>
      <c r="O25" s="629"/>
      <c r="P25" s="638">
        <f t="shared" si="36"/>
        <v>0.03</v>
      </c>
      <c r="Q25" s="629"/>
      <c r="R25" s="673" t="str">
        <f t="shared" si="17"/>
        <v>-</v>
      </c>
      <c r="S25" s="649"/>
      <c r="T25" s="647"/>
      <c r="U25" s="827"/>
      <c r="V25" s="670"/>
      <c r="W25" s="798">
        <f t="shared" si="18"/>
        <v>0</v>
      </c>
      <c r="X25" s="656">
        <f>IF(OR(E25=0,F25=0),0,IF(E25='2. AWARDS'!F$7,VLOOKUP(F25,'2. AWARDS'!$C$9:$F$35,4,FALSE),IF(E25='2. AWARDS'!G$7,VLOOKUP(F25,'2. AWARDS'!$C$9:$G$35,5,FALSE),IF(E25='2. AWARDS'!H$7,VLOOKUP(F25,'2. AWARDS'!$C$9:$H$35,6,FALSE),IF(E25='2. AWARDS'!I$7,VLOOKUP(F25,'2. AWARDS'!$C$9:$I$35,7,FALSE),VLOOKUP(F25,'2. AWARDS'!$C$9:$J$35,8,FALSE))))))</f>
        <v>0</v>
      </c>
      <c r="Y25" s="980">
        <f>IF(OR(E25=0,F25=0),0,IF(AND(N25=0,E25='2. AWARDS'!F$7,VLOOKUP(F25,'2. AWARDS'!$C$9:$O$35,9,FALSE)&lt;&gt;0),"date missing",IF(AND(N25=0,E25='2. AWARDS'!G$7,VLOOKUP(F25,'2. AWARDS'!$C$9:$O$35,10,FALSE)&lt;&gt;0),"date missing",IF(AND(N25=0,E25='2. AWARDS'!H$7,VLOOKUP(F25,'2. AWARDS'!$C$9:$O$35,11,FALSE)&lt;&gt;0),"date missing",IF(AND(N25=0,E25='2. AWARDS'!I$7,VLOOKUP(F25,'2. AWARDS'!$C$9:$O$35,12,FALSE)&lt;&gt;0),"date missing",IF(AND(N25=0,E25='2. AWARDS'!J$7,VLOOKUP(F25,'2. AWARDS'!$C$9:$O$35,13,FALSE)&lt;&gt;0),"date missing",IF(N25=0,0,IF(OR(N25=MIN(O25,Q25),AND(N25&lt;O25,N25&lt;Q25,N25&gt;0)),IF(E25='2. AWARDS'!F$7,VLOOKUP(F25,'2. AWARDS'!$C$9:$O$35,9,FALSE),IF(E25='2. AWARDS'!G$7,VLOOKUP(F25,'2. AWARDS'!$C$9:$O$35,10,FALSE),IF(E25='2. AWARDS'!H$7,VLOOKUP(F25,'2. AWARDS'!$C$9:$O$35,11,FALSE),IF(E25='2. AWARDS'!I$7,VLOOKUP(F25,'2. AWARDS'!$C$9:$O$35,12,FALSE),IF(E25='2. AWARDS'!J$7,VLOOKUP(F25,'2. AWARDS'!$C$9:$O$35,13,FALSE)))))),IF(AND(N25&gt;O25,N25&lt;Q25),IF(E25='2. AWARDS'!F$7,(1+P25)*VLOOKUP(F25,'2. AWARDS'!$C$9:$O$35,9,FALSE),IF(E25='2. AWARDS'!G$7,(1+P25)*VLOOKUP(F25,'2. AWARDS'!$C$9:$O$35,10,FALSE),IF(E25='2. AWARDS'!H$7,(1+P25)*VLOOKUP(F25,'2. AWARDS'!$C$9:$O$35,11,FALSE),IF(E25='2. AWARDS'!I$7,(1+P25)*VLOOKUP(F25,'2. AWARDS'!$C$9:$O$35,12,FALSE),IF(E25='2. AWARDS'!J$7,(1+P25)*VLOOKUP(F25,'2. AWARDS'!$C$9:$O$35,13,FALSE)))))),IF(AND(N25&lt;O25,N25&gt;Q25),IF(E25='2. AWARDS'!F$7,(1+(R25/9))*VLOOKUP(F25,'2. AWARDS'!$C$9:$O$35,9,FALSE),IF(E25='2. AWARDS'!G$7,(1+(R25/9))*VLOOKUP(F25,'2. AWARDS'!$C$9:$O$35,10,FALSE),IF(E25='2. AWARDS'!H$7,(1+(R25/9))*VLOOKUP(F25,'2. AWARDS'!$C$9:$O$35,11,FALSE),IF(E25='2. AWARDS'!I$7,(1+(R25/9))*VLOOKUP(F25,'2. AWARDS'!$C$9:$O$35,12,FALSE),IF(E25='2. AWARDS'!J$7,(1+(R25/9))*VLOOKUP(F25,'2. AWARDS'!$C$9:$O$35,13,FALSE)))))),IF(OR(N25=MAX(O25,Q25),AND(N25&gt;O25,N25&gt;Q25)),IF(E25='2. AWARDS'!F$7,((1+(R25/9))*(1+P25))*VLOOKUP(F25,'2. AWARDS'!$C$9:$O$35,9,FALSE),IF(E25='2. AWARDS'!G$7,((1+(R25/9))*(1+P25))*VLOOKUP(F25,'2. AWARDS'!$C$9:$O$35,10,FALSE),IF(E25='2. AWARDS'!H$7,((1+(R25/9))*(1+P25))*VLOOKUP(F25,'2. AWARDS'!$C$9:$O$35,11,FALSE),IF(E25='2. AWARDS'!I$7,((1+(R25/9))*(1+P25))*VLOOKUP(F25,'2. AWARDS'!$C$9:$O$35,12,FALSE),IF(E25='2. AWARDS'!J$7,((1+(R25/9))*(1+P25))*VLOOKUP(F25,'2. AWARDS'!$C$9:$O$35,13,FALSE)))))),"?")))))))))))</f>
        <v>0</v>
      </c>
      <c r="Z25" s="1093" t="e">
        <f>IF(AND(E25='2. AWARDS'!F18,O25&gt;N25,O25&gt;Q25,VLOOKUP(F25,'2. AWARDS'!$C$9:$O$35,9,FALSE)&lt;&gt;0),VLOOKUP(F25,'2. AWARDS'!$C$9:$O$35,9,FALSE)*(1+P25)*(1+(R25/9)),IF(AND(E25='2. AWARDS'!F18,O25&gt;N25,O25&gt;Q25,VLOOKUP(F25,'2. AWARDS'!$C$9:$O$35,9,FALSE)=0),X25*(1+P25)*(1+(R25/9)),IF(AND(E25='2. AWARDS'!G18,O25&gt;N25,O25&gt;Q25,VLOOKUP(F25,'2. AWARDS'!$C$9:$O$35,10,FALSE)&lt;&gt;0),VLOOKUP(F25,'2. AWARDS'!$C$9:$O$35,10,FALSE)*(1+P25)*(1+(R25/9)),IF(AND(E25='2. AWARDS'!G18,O25&gt;N25,O25&gt;Q25,VLOOKUP(F25,'2. AWARDS'!$C$9:$O$35,10,FALSE)=0),X25*(1+P25)*(1+(R25/9)),IF(AND(E25='2. AWARDS'!H18,O25&gt;N25,O25&gt;Q25,VLOOKUP(F25,'2. AWARDS'!$C$9:$O$35,11,FALSE)&lt;&gt;0),VLOOKUP(F25,'2. AWARDS'!$C$9:$O$35,11,FALSE)*(1+P25)*(1+(R25/9)),IF(AND(E25='2. AWARDS'!H18,O25&gt;N25,O25&gt;Q25,VLOOKUP(F25,'2. AWARDS'!$C$9:$O$35,11,FALSE)=0),X25*(1+P25)*(1+(R25/9)),IF(AND(E25='2. AWARDS'!I18,O25&gt;N25,O25&gt;Q25,VLOOKUP(F25,'2. AWARDS'!$C$9:$O$35,12,FALSE)&lt;&gt;0),VLOOKUP(F25,'2. AWARDS'!$C$9:$O$35,12,FALSE)*(1+P25)*(1+(R25/9)),IF(AND(E25='2. AWARDS'!I18,O25&gt;N25,O25&gt;Q25,VLOOKUP(F25,'2. AWARDS'!$C$9:$O$35,12,FALSE)=0),X25*(1+P25)*(1+(R25/9)),IF(AND(E25='2. AWARDS'!J18,O25&gt;N25,O25&gt;Q25,VLOOKUP(F25,'2. AWARDS'!$C$9:$O$35,13,FALSE)&lt;&gt;0),VLOOKUP(F25,'2. AWARDS'!$C$9:$O$35,13,FALSE)*(1+P25)*(1+(R25/9)),IF(AND(E25='2. AWARDS'!J18,O25&gt;N25,O25&gt;Q25,VLOOKUP(F25,'2. AWARDS'!$C$9:$O$35,13,FALSE)=0),X25*(1+P25)*(1+(R25/9)),IF(AND(O25&lt;N25,O25&gt;Q25),X25*(1+P25)*(1+(R25/9)),IF(AND(E25='2. AWARDS'!F18,O25=MAX(N25,Q25),VLOOKUP(F25,'2. AWARDS'!$C$9:$O$35,9,FALSE)&lt;&gt;0),VLOOKUP(F25,'2. AWARDS'!$C$9:$O$35,9,FALSE)*(1+P25)*(1+(R25/9)),IF(AND(E25='2. AWARDS'!F18,O25=MAX(N25,Q25),VLOOKUP(F25,'2. AWARDS'!$C$9:$O$35,9,FALSE)=0),X25*(1+P25)*(1+(R25/9)),IF(AND(E25='2. AWARDS'!G18,O25=MAX(N25,Q25),VLOOKUP(F25,'2. AWARDS'!$C$9:$O$35,10,FALSE)&lt;&gt;0),VLOOKUP(F25,'2. AWARDS'!$C$9:$O$35,10,FALSE)*(1+P25)*(1+(R25/9)),IF(AND(E25='2. AWARDS'!G18,O25=MAX(N25,Q25),VLOOKUP(F25,'2. AWARDS'!$C$9:$O$35,10,FALSE)=0),X25*(1+P25)*(1+(R25/9)),IF(AND(E25='2. AWARDS'!H18,O25=MAX(N25,Q25),VLOOKUP(F25,'2. AWARDS'!$C$9:$O$35,11,FALSE)&lt;&gt;0),VLOOKUP(F25,'2. AWARDS'!$C$9:$O$35,11,FALSE)*(1+P25)*(1+(R25/9)),IF(AND(E25='2. AWARDS'!H18,O25=MAX(N25,Q25),VLOOKUP(F25,'2. AWARDS'!$C$9:$O$35,11,FALSE)=0),X25*(1+P25)*(1+(R25/9)),IF(AND(E25='2. AWARDS'!I18,O25=MAX(N25,Q25),VLOOKUP(F25,'2. AWARDS'!$C$9:$O$35,12,FALSE)&lt;&gt;0),VLOOKUP(F25,'2. AWARDS'!$C$9:$O$35,12,FALSE)*(1+P25)*(1+(R25/9)),IF(AND(E25='2. AWARDS'!I18,O25=MAX(N25,Q25),VLOOKUP(F25,'2. AWARDS'!$C$9:$O$35,12,FALSE)=0),X25*(1+P25)*(1+(R25/9)),IF(AND(E25='2. AWARDS'!J18,O25=MAX(N25,Q25),VLOOKUP(F25,'2. AWARDS'!$C$9:$O$35,13,FALSE)&lt;&gt;0),VLOOKUP(F25,'2. AWARDS'!$C$9:$O$35,13,FALSE)*(1+P25)*(1+(R25/9)),IF(AND(E25='2. AWARDS'!J18,O25=MAX(N25,Q25),VLOOKUP(F25,'2. AWARDS'!$C$9:$O$35,13,FALSE)=0),X25*(1+P25)*(1+(R25/9)),IF(AND(O25&lt;N25,O25&lt;Q25),X25*(1+P25),IF(AND(O25=N25,N25&lt;Q25,E25='2. AWARDS'!F18),VLOOKUP(F25,'2. AWARDS'!$C$9:$O$35,9,FALSE)*(1+P25),IF(AND(O25=N25,N25&lt;Q25,E25='2. AWARDS'!G18),VLOOKUP(F25,'2. AWARDS'!$C$9:$O$35,10,FALSE)*(1+P25),IF(AND(O25=N25,N25&lt;Q25,E25='2. AWARDS'!H18),VLOOKUP(F25,'2. AWARDS'!$C$9:$O$35,11,FALSE)*(1+P25),IF(AND(O25=N25,N25&lt;Q25,E25='2. AWARDS'!I18),VLOOKUP(F25,'2. AWARDS'!$C$9:$O$35,12,FALSE)*(1+P25),IF(AND(O25=N25,N25&lt;Q25,E25='2. AWARDS'!J18),VLOOKUP(F25,'2. AWARDS'!$C$9:$O$35,13,FALSE)*(1+P25),IF(AND(O25=Q25,N25&gt;Q25),X25*(1+P25)*(1+(R25/9)),IF(AND(E25='2. AWARDS'!F18,O25&gt;N25,O25&lt;Q25,VLOOKUP(F25,'2. AWARDS'!$C$9:$O$35,9,FALSE)&lt;&gt;0),VLOOKUP(F25,'2. AWARDS'!$C$9:$O$35,9,FALSE)*(1+P25),IF(AND(E25='2. AWARDS'!G18,O25&gt;N25,O25&lt;Q25,VLOOKUP(F25,'2. AWARDS'!$C$9:$O$35,10,FALSE)&lt;&gt;0),VLOOKUP(F25,'2. AWARDS'!$C$9:$O$35,10,FALSE)*(1+P25),IF(AND(E25='2. AWARDS'!H18,O25&gt;N25,O25&lt;Q25,VLOOKUP(F25,'2. AWARDS'!$C$9:$O$35,11,FALSE)&lt;&gt;0),VLOOKUP(F25,'2. AWARDS'!$C$9:$O$35,11,FALSE)*(1+P25),IF(AND(E25='2. AWARDS'!I18,O25&gt;N25,O25&lt;Q25,VLOOKUP(F25,'2. AWARDS'!$C$9:$O$35,12,FALSE)&lt;&gt;0),VLOOKUP(F25,'2. AWARDS'!$C$9:$O$35,12,FALSE)*(1+P25),IF(AND(E25='2. AWARDS'!J18,O25&gt;N25,O25&lt;Q25,VLOOKUP(F25,'2. AWARDS'!$C$9:$O$35,13,FALSE)&lt;&gt;0),VLOOKUP(F25,'2. AWARDS'!$C$9:$O$35,13,FALSE)*(1+P25),X25*(1+P25))))))))))))))))))))))))))))))))))</f>
        <v>#N/A</v>
      </c>
      <c r="AA25" s="661" t="e">
        <f t="shared" si="35"/>
        <v>#N/A</v>
      </c>
      <c r="AB25" s="683"/>
      <c r="AC25" s="774"/>
      <c r="AD25" s="774"/>
      <c r="AE25" s="777"/>
      <c r="AF25" s="781">
        <f t="shared" si="20"/>
        <v>0</v>
      </c>
      <c r="AG25" s="781" t="e">
        <f>HLOOKUP(E25,'2. AWARDS'!$F$7:$J$40,32,FALSE)/5*HLOOKUP(E25,'2. AWARDS'!$F$7:$J$40,31,FALSE)*MAX(W25:AA25)*M25*HLOOKUP(E25,'2. AWARDS'!$F$7:$J$40,34,FALSE)*(L25/(38*2))</f>
        <v>#N/A</v>
      </c>
      <c r="AH25" s="783" t="e">
        <f>((HLOOKUP(E25,'2. AWARDS'!$F$7:$J$42,36,FALSE)/HLOOKUP(E25,'2. AWARDS'!$F$7:$J$42,35,FALSE)*HLOOKUP(E25,'2. AWARDS'!$F$7:$J$45,39,FALSE))/(HLOOKUP(E25,'2. AWARDS'!$F$7:$J$45,31,FALSE)*2)*L25*M25*HLOOKUP(E25,'2. AWARDS'!$F$7:$J$45,31,FALSE)*MAX(W25:AA25))</f>
        <v>#N/A</v>
      </c>
      <c r="AI25" s="474"/>
      <c r="AJ25" s="804"/>
      <c r="AK25" s="801"/>
      <c r="AL25" s="801"/>
      <c r="AM25" s="802"/>
      <c r="AN25" s="1012"/>
      <c r="AO25" s="836">
        <f>IF(AJ25="YES",HLOOKUP(E25,'2. AWARDS'!$F$7:$J$38,32,FALSE)/5*HLOOKUP(E25,'2. AWARDS'!$F$7:$J$37,31,FALSE)*L25/(HLOOKUP(E25,'2. AWARDS'!$F$7:$J$37,31,FALSE)*2)*M25*MAX(W25:AA25)*(1+HLOOKUP(E25,'2. AWARDS'!$F$7:$J$43,37,FALSE))*(1-AM25),0)</f>
        <v>0</v>
      </c>
      <c r="AP25" s="836">
        <f>IF(AK25="YES",HLOOKUP(E25,'2. AWARDS'!$F$7:$J$39,33,FALSE)/5*HLOOKUP(E25,'2. AWARDS'!$F$7:$J$37,31,FALSE)*L25/(HLOOKUP(E25,'2. AWARDS'!$F$7:$J$37,31,FALSE)*2)*M25*MAX(W25:AA25)*(1+HLOOKUP(E25,'2. AWARDS'!$F$7:$J$43,37,FALSE))*(1-AM25),0)</f>
        <v>0</v>
      </c>
      <c r="AQ25" s="838">
        <f>IF(AL25="YES",HLOOKUP(E25,'2. AWARDS'!$F$7:$J$47,40,FALSE)/5*HLOOKUP(E25,'2. AWARDS'!$F$7:$J$37,31,FALSE)*L25/(HLOOKUP(E25,'2. AWARDS'!$F$7:$J$37,31,FALSE)*2)*M25*MAX(W25:AA25)*(1+HLOOKUP(E25,'2. AWARDS'!$F$7:$J$43,37,FALSE))*(1-AM25),0)</f>
        <v>0</v>
      </c>
      <c r="AR25" s="839">
        <f>(IF(AJ25="YES",HLOOKUP(E25,'2. AWARDS'!$F$7:$J$39,32,FALSE),0)+IF(AK25="YES",HLOOKUP(E25,'2. AWARDS'!$F$7:$J$39,33,FALSE),0)+IF(AL25="YES",HLOOKUP(E25,'2. AWARDS'!$F$7:$J$47,40,FALSE),0))*L25/76*7.6*AM25*AN25*M25</f>
        <v>0</v>
      </c>
      <c r="AS25" s="683"/>
      <c r="AT25" s="802">
        <f>'1. KEY DATA'!J$29</f>
        <v>0</v>
      </c>
      <c r="AU25" s="822">
        <f>'1. KEY DATA'!J$30</f>
        <v>0.09</v>
      </c>
      <c r="AV25" s="502"/>
      <c r="AW25" s="478">
        <f t="shared" si="21"/>
        <v>0</v>
      </c>
      <c r="AX25" s="502"/>
      <c r="AY25" s="477"/>
      <c r="AZ25" s="233"/>
      <c r="BA25" s="233"/>
      <c r="BB25" s="233"/>
      <c r="BC25" s="233"/>
      <c r="BD25" s="233"/>
      <c r="BE25" s="233"/>
      <c r="BF25" s="233"/>
      <c r="BG25" s="233"/>
      <c r="BH25" s="233"/>
      <c r="BI25" s="1392"/>
      <c r="BJ25" s="1393"/>
      <c r="BK25" s="1393"/>
      <c r="BL25" s="1394"/>
      <c r="BM25" s="301">
        <f t="shared" si="22"/>
        <v>1</v>
      </c>
      <c r="BO25" s="244">
        <f t="shared" si="23"/>
        <v>0</v>
      </c>
      <c r="BP25" s="245">
        <f t="shared" si="24"/>
        <v>0</v>
      </c>
      <c r="BQ25" s="245">
        <f t="shared" si="25"/>
        <v>0</v>
      </c>
      <c r="BR25" s="245">
        <f t="shared" si="26"/>
        <v>0</v>
      </c>
      <c r="BS25" s="245">
        <f t="shared" si="27"/>
        <v>0</v>
      </c>
      <c r="BT25" s="245">
        <f t="shared" si="28"/>
        <v>0</v>
      </c>
      <c r="BU25" s="245">
        <f t="shared" si="29"/>
        <v>0</v>
      </c>
      <c r="BV25" s="245">
        <f t="shared" si="30"/>
        <v>0</v>
      </c>
      <c r="BW25" s="245">
        <f t="shared" si="31"/>
        <v>0</v>
      </c>
      <c r="BX25" s="246">
        <f t="shared" si="32"/>
        <v>0</v>
      </c>
      <c r="BY25" s="1380"/>
      <c r="BZ25" s="1381"/>
      <c r="CA25" s="1381"/>
      <c r="CB25" s="1382"/>
    </row>
    <row r="26" spans="1:80" ht="15.75" thickBot="1">
      <c r="A26">
        <f t="shared" si="0"/>
        <v>13</v>
      </c>
      <c r="B26" s="217"/>
      <c r="C26" s="214"/>
      <c r="D26" s="699">
        <f t="shared" si="33"/>
        <v>0</v>
      </c>
      <c r="E26" s="626"/>
      <c r="F26" s="900"/>
      <c r="G26" s="702"/>
      <c r="H26" s="693"/>
      <c r="I26" s="694"/>
      <c r="J26" s="1113"/>
      <c r="K26" s="1114"/>
      <c r="L26" s="1109"/>
      <c r="M26" s="689"/>
      <c r="N26" s="628"/>
      <c r="O26" s="629"/>
      <c r="P26" s="638">
        <f t="shared" si="36"/>
        <v>0.03</v>
      </c>
      <c r="Q26" s="629"/>
      <c r="R26" s="673" t="str">
        <f t="shared" si="17"/>
        <v>-</v>
      </c>
      <c r="S26" s="649"/>
      <c r="T26" s="647"/>
      <c r="U26" s="827"/>
      <c r="V26" s="670"/>
      <c r="W26" s="798">
        <f t="shared" si="18"/>
        <v>0</v>
      </c>
      <c r="X26" s="656">
        <f>IF(OR(E26=0,F26=0),0,IF(E26='2. AWARDS'!F$7,VLOOKUP(F26,'2. AWARDS'!$C$9:$F$35,4,FALSE),IF(E26='2. AWARDS'!G$7,VLOOKUP(F26,'2. AWARDS'!$C$9:$G$35,5,FALSE),IF(E26='2. AWARDS'!H$7,VLOOKUP(F26,'2. AWARDS'!$C$9:$H$35,6,FALSE),IF(E26='2. AWARDS'!I$7,VLOOKUP(F26,'2. AWARDS'!$C$9:$I$35,7,FALSE),VLOOKUP(F26,'2. AWARDS'!$C$9:$J$35,8,FALSE))))))</f>
        <v>0</v>
      </c>
      <c r="Y26" s="980">
        <f>IF(OR(E26=0,F26=0),0,IF(AND(N26=0,E26='2. AWARDS'!F$7,VLOOKUP(F26,'2. AWARDS'!$C$9:$O$35,9,FALSE)&lt;&gt;0),"date missing",IF(AND(N26=0,E26='2. AWARDS'!G$7,VLOOKUP(F26,'2. AWARDS'!$C$9:$O$35,10,FALSE)&lt;&gt;0),"date missing",IF(AND(N26=0,E26='2. AWARDS'!H$7,VLOOKUP(F26,'2. AWARDS'!$C$9:$O$35,11,FALSE)&lt;&gt;0),"date missing",IF(AND(N26=0,E26='2. AWARDS'!I$7,VLOOKUP(F26,'2. AWARDS'!$C$9:$O$35,12,FALSE)&lt;&gt;0),"date missing",IF(AND(N26=0,E26='2. AWARDS'!J$7,VLOOKUP(F26,'2. AWARDS'!$C$9:$O$35,13,FALSE)&lt;&gt;0),"date missing",IF(N26=0,0,IF(OR(N26=MIN(O26,Q26),AND(N26&lt;O26,N26&lt;Q26,N26&gt;0)),IF(E26='2. AWARDS'!F$7,VLOOKUP(F26,'2. AWARDS'!$C$9:$O$35,9,FALSE),IF(E26='2. AWARDS'!G$7,VLOOKUP(F26,'2. AWARDS'!$C$9:$O$35,10,FALSE),IF(E26='2. AWARDS'!H$7,VLOOKUP(F26,'2. AWARDS'!$C$9:$O$35,11,FALSE),IF(E26='2. AWARDS'!I$7,VLOOKUP(F26,'2. AWARDS'!$C$9:$O$35,12,FALSE),IF(E26='2. AWARDS'!J$7,VLOOKUP(F26,'2. AWARDS'!$C$9:$O$35,13,FALSE)))))),IF(AND(N26&gt;O26,N26&lt;Q26),IF(E26='2. AWARDS'!F$7,(1+P26)*VLOOKUP(F26,'2. AWARDS'!$C$9:$O$35,9,FALSE),IF(E26='2. AWARDS'!G$7,(1+P26)*VLOOKUP(F26,'2. AWARDS'!$C$9:$O$35,10,FALSE),IF(E26='2. AWARDS'!H$7,(1+P26)*VLOOKUP(F26,'2. AWARDS'!$C$9:$O$35,11,FALSE),IF(E26='2. AWARDS'!I$7,(1+P26)*VLOOKUP(F26,'2. AWARDS'!$C$9:$O$35,12,FALSE),IF(E26='2. AWARDS'!J$7,(1+P26)*VLOOKUP(F26,'2. AWARDS'!$C$9:$O$35,13,FALSE)))))),IF(AND(N26&lt;O26,N26&gt;Q26),IF(E26='2. AWARDS'!F$7,(1+(R26/9))*VLOOKUP(F26,'2. AWARDS'!$C$9:$O$35,9,FALSE),IF(E26='2. AWARDS'!G$7,(1+(R26/9))*VLOOKUP(F26,'2. AWARDS'!$C$9:$O$35,10,FALSE),IF(E26='2. AWARDS'!H$7,(1+(R26/9))*VLOOKUP(F26,'2. AWARDS'!$C$9:$O$35,11,FALSE),IF(E26='2. AWARDS'!I$7,(1+(R26/9))*VLOOKUP(F26,'2. AWARDS'!$C$9:$O$35,12,FALSE),IF(E26='2. AWARDS'!J$7,(1+(R26/9))*VLOOKUP(F26,'2. AWARDS'!$C$9:$O$35,13,FALSE)))))),IF(OR(N26=MAX(O26,Q26),AND(N26&gt;O26,N26&gt;Q26)),IF(E26='2. AWARDS'!F$7,((1+(R26/9))*(1+P26))*VLOOKUP(F26,'2. AWARDS'!$C$9:$O$35,9,FALSE),IF(E26='2. AWARDS'!G$7,((1+(R26/9))*(1+P26))*VLOOKUP(F26,'2. AWARDS'!$C$9:$O$35,10,FALSE),IF(E26='2. AWARDS'!H$7,((1+(R26/9))*(1+P26))*VLOOKUP(F26,'2. AWARDS'!$C$9:$O$35,11,FALSE),IF(E26='2. AWARDS'!I$7,((1+(R26/9))*(1+P26))*VLOOKUP(F26,'2. AWARDS'!$C$9:$O$35,12,FALSE),IF(E26='2. AWARDS'!J$7,((1+(R26/9))*(1+P26))*VLOOKUP(F26,'2. AWARDS'!$C$9:$O$35,13,FALSE)))))),"?")))))))))))</f>
        <v>0</v>
      </c>
      <c r="Z26" s="1093" t="e">
        <f>IF(AND(E26='2. AWARDS'!F19,O26&gt;N26,O26&gt;Q26,VLOOKUP(F26,'2. AWARDS'!$C$9:$O$35,9,FALSE)&lt;&gt;0),VLOOKUP(F26,'2. AWARDS'!$C$9:$O$35,9,FALSE)*(1+P26)*(1+(R26/9)),IF(AND(E26='2. AWARDS'!F19,O26&gt;N26,O26&gt;Q26,VLOOKUP(F26,'2. AWARDS'!$C$9:$O$35,9,FALSE)=0),X26*(1+P26)*(1+(R26/9)),IF(AND(E26='2. AWARDS'!G19,O26&gt;N26,O26&gt;Q26,VLOOKUP(F26,'2. AWARDS'!$C$9:$O$35,10,FALSE)&lt;&gt;0),VLOOKUP(F26,'2. AWARDS'!$C$9:$O$35,10,FALSE)*(1+P26)*(1+(R26/9)),IF(AND(E26='2. AWARDS'!G19,O26&gt;N26,O26&gt;Q26,VLOOKUP(F26,'2. AWARDS'!$C$9:$O$35,10,FALSE)=0),X26*(1+P26)*(1+(R26/9)),IF(AND(E26='2. AWARDS'!H19,O26&gt;N26,O26&gt;Q26,VLOOKUP(F26,'2. AWARDS'!$C$9:$O$35,11,FALSE)&lt;&gt;0),VLOOKUP(F26,'2. AWARDS'!$C$9:$O$35,11,FALSE)*(1+P26)*(1+(R26/9)),IF(AND(E26='2. AWARDS'!H19,O26&gt;N26,O26&gt;Q26,VLOOKUP(F26,'2. AWARDS'!$C$9:$O$35,11,FALSE)=0),X26*(1+P26)*(1+(R26/9)),IF(AND(E26='2. AWARDS'!I19,O26&gt;N26,O26&gt;Q26,VLOOKUP(F26,'2. AWARDS'!$C$9:$O$35,12,FALSE)&lt;&gt;0),VLOOKUP(F26,'2. AWARDS'!$C$9:$O$35,12,FALSE)*(1+P26)*(1+(R26/9)),IF(AND(E26='2. AWARDS'!I19,O26&gt;N26,O26&gt;Q26,VLOOKUP(F26,'2. AWARDS'!$C$9:$O$35,12,FALSE)=0),X26*(1+P26)*(1+(R26/9)),IF(AND(E26='2. AWARDS'!J19,O26&gt;N26,O26&gt;Q26,VLOOKUP(F26,'2. AWARDS'!$C$9:$O$35,13,FALSE)&lt;&gt;0),VLOOKUP(F26,'2. AWARDS'!$C$9:$O$35,13,FALSE)*(1+P26)*(1+(R26/9)),IF(AND(E26='2. AWARDS'!J19,O26&gt;N26,O26&gt;Q26,VLOOKUP(F26,'2. AWARDS'!$C$9:$O$35,13,FALSE)=0),X26*(1+P26)*(1+(R26/9)),IF(AND(O26&lt;N26,O26&gt;Q26),X26*(1+P26)*(1+(R26/9)),IF(AND(E26='2. AWARDS'!F19,O26=MAX(N26,Q26),VLOOKUP(F26,'2. AWARDS'!$C$9:$O$35,9,FALSE)&lt;&gt;0),VLOOKUP(F26,'2. AWARDS'!$C$9:$O$35,9,FALSE)*(1+P26)*(1+(R26/9)),IF(AND(E26='2. AWARDS'!F19,O26=MAX(N26,Q26),VLOOKUP(F26,'2. AWARDS'!$C$9:$O$35,9,FALSE)=0),X26*(1+P26)*(1+(R26/9)),IF(AND(E26='2. AWARDS'!G19,O26=MAX(N26,Q26),VLOOKUP(F26,'2. AWARDS'!$C$9:$O$35,10,FALSE)&lt;&gt;0),VLOOKUP(F26,'2. AWARDS'!$C$9:$O$35,10,FALSE)*(1+P26)*(1+(R26/9)),IF(AND(E26='2. AWARDS'!G19,O26=MAX(N26,Q26),VLOOKUP(F26,'2. AWARDS'!$C$9:$O$35,10,FALSE)=0),X26*(1+P26)*(1+(R26/9)),IF(AND(E26='2. AWARDS'!H19,O26=MAX(N26,Q26),VLOOKUP(F26,'2. AWARDS'!$C$9:$O$35,11,FALSE)&lt;&gt;0),VLOOKUP(F26,'2. AWARDS'!$C$9:$O$35,11,FALSE)*(1+P26)*(1+(R26/9)),IF(AND(E26='2. AWARDS'!H19,O26=MAX(N26,Q26),VLOOKUP(F26,'2. AWARDS'!$C$9:$O$35,11,FALSE)=0),X26*(1+P26)*(1+(R26/9)),IF(AND(E26='2. AWARDS'!I19,O26=MAX(N26,Q26),VLOOKUP(F26,'2. AWARDS'!$C$9:$O$35,12,FALSE)&lt;&gt;0),VLOOKUP(F26,'2. AWARDS'!$C$9:$O$35,12,FALSE)*(1+P26)*(1+(R26/9)),IF(AND(E26='2. AWARDS'!I19,O26=MAX(N26,Q26),VLOOKUP(F26,'2. AWARDS'!$C$9:$O$35,12,FALSE)=0),X26*(1+P26)*(1+(R26/9)),IF(AND(E26='2. AWARDS'!J19,O26=MAX(N26,Q26),VLOOKUP(F26,'2. AWARDS'!$C$9:$O$35,13,FALSE)&lt;&gt;0),VLOOKUP(F26,'2. AWARDS'!$C$9:$O$35,13,FALSE)*(1+P26)*(1+(R26/9)),IF(AND(E26='2. AWARDS'!J19,O26=MAX(N26,Q26),VLOOKUP(F26,'2. AWARDS'!$C$9:$O$35,13,FALSE)=0),X26*(1+P26)*(1+(R26/9)),IF(AND(O26&lt;N26,O26&lt;Q26),X26*(1+P26),IF(AND(O26=N26,N26&lt;Q26,E26='2. AWARDS'!F19),VLOOKUP(F26,'2. AWARDS'!$C$9:$O$35,9,FALSE)*(1+P26),IF(AND(O26=N26,N26&lt;Q26,E26='2. AWARDS'!G19),VLOOKUP(F26,'2. AWARDS'!$C$9:$O$35,10,FALSE)*(1+P26),IF(AND(O26=N26,N26&lt;Q26,E26='2. AWARDS'!H19),VLOOKUP(F26,'2. AWARDS'!$C$9:$O$35,11,FALSE)*(1+P26),IF(AND(O26=N26,N26&lt;Q26,E26='2. AWARDS'!I19),VLOOKUP(F26,'2. AWARDS'!$C$9:$O$35,12,FALSE)*(1+P26),IF(AND(O26=N26,N26&lt;Q26,E26='2. AWARDS'!J19),VLOOKUP(F26,'2. AWARDS'!$C$9:$O$35,13,FALSE)*(1+P26),IF(AND(O26=Q26,N26&gt;Q26),X26*(1+P26)*(1+(R26/9)),IF(AND(E26='2. AWARDS'!F19,O26&gt;N26,O26&lt;Q26,VLOOKUP(F26,'2. AWARDS'!$C$9:$O$35,9,FALSE)&lt;&gt;0),VLOOKUP(F26,'2. AWARDS'!$C$9:$O$35,9,FALSE)*(1+P26),IF(AND(E26='2. AWARDS'!G19,O26&gt;N26,O26&lt;Q26,VLOOKUP(F26,'2. AWARDS'!$C$9:$O$35,10,FALSE)&lt;&gt;0),VLOOKUP(F26,'2. AWARDS'!$C$9:$O$35,10,FALSE)*(1+P26),IF(AND(E26='2. AWARDS'!H19,O26&gt;N26,O26&lt;Q26,VLOOKUP(F26,'2. AWARDS'!$C$9:$O$35,11,FALSE)&lt;&gt;0),VLOOKUP(F26,'2. AWARDS'!$C$9:$O$35,11,FALSE)*(1+P26),IF(AND(E26='2. AWARDS'!I19,O26&gt;N26,O26&lt;Q26,VLOOKUP(F26,'2. AWARDS'!$C$9:$O$35,12,FALSE)&lt;&gt;0),VLOOKUP(F26,'2. AWARDS'!$C$9:$O$35,12,FALSE)*(1+P26),IF(AND(E26='2. AWARDS'!J19,O26&gt;N26,O26&lt;Q26,VLOOKUP(F26,'2. AWARDS'!$C$9:$O$35,13,FALSE)&lt;&gt;0),VLOOKUP(F26,'2. AWARDS'!$C$9:$O$35,13,FALSE)*(1+P26),X26*(1+P26))))))))))))))))))))))))))))))))))</f>
        <v>#N/A</v>
      </c>
      <c r="AA26" s="661" t="e">
        <f t="shared" si="35"/>
        <v>#N/A</v>
      </c>
      <c r="AB26" s="683"/>
      <c r="AC26" s="774"/>
      <c r="AD26" s="774"/>
      <c r="AE26" s="777"/>
      <c r="AF26" s="781">
        <f t="shared" si="20"/>
        <v>0</v>
      </c>
      <c r="AG26" s="781" t="e">
        <f>HLOOKUP(E26,'2. AWARDS'!$F$7:$J$40,32,FALSE)/5*HLOOKUP(E26,'2. AWARDS'!$F$7:$J$40,31,FALSE)*MAX(W26:AA26)*M26*HLOOKUP(E26,'2. AWARDS'!$F$7:$J$40,34,FALSE)*(L26/(38*2))</f>
        <v>#N/A</v>
      </c>
      <c r="AH26" s="783" t="e">
        <f>((HLOOKUP(E26,'2. AWARDS'!$F$7:$J$42,36,FALSE)/HLOOKUP(E26,'2. AWARDS'!$F$7:$J$42,35,FALSE)*HLOOKUP(E26,'2. AWARDS'!$F$7:$J$45,39,FALSE))/(HLOOKUP(E26,'2. AWARDS'!$F$7:$J$45,31,FALSE)*2)*L26*M26*HLOOKUP(E26,'2. AWARDS'!$F$7:$J$45,31,FALSE)*MAX(W26:AA26))</f>
        <v>#N/A</v>
      </c>
      <c r="AI26" s="474"/>
      <c r="AJ26" s="804"/>
      <c r="AK26" s="801"/>
      <c r="AL26" s="801"/>
      <c r="AM26" s="802"/>
      <c r="AN26" s="1012"/>
      <c r="AO26" s="836">
        <f>IF(AJ26="YES",HLOOKUP(E26,'2. AWARDS'!$F$7:$J$38,32,FALSE)/5*HLOOKUP(E26,'2. AWARDS'!$F$7:$J$37,31,FALSE)*L26/(HLOOKUP(E26,'2. AWARDS'!$F$7:$J$37,31,FALSE)*2)*M26*MAX(W26:AA26)*(1+HLOOKUP(E26,'2. AWARDS'!$F$7:$J$43,37,FALSE))*(1-AM26),0)</f>
        <v>0</v>
      </c>
      <c r="AP26" s="836">
        <f>IF(AK26="YES",HLOOKUP(E26,'2. AWARDS'!$F$7:$J$39,33,FALSE)/5*HLOOKUP(E26,'2. AWARDS'!$F$7:$J$37,31,FALSE)*L26/(HLOOKUP(E26,'2. AWARDS'!$F$7:$J$37,31,FALSE)*2)*M26*MAX(W26:AA26)*(1+HLOOKUP(E26,'2. AWARDS'!$F$7:$J$43,37,FALSE))*(1-AM26),0)</f>
        <v>0</v>
      </c>
      <c r="AQ26" s="838">
        <f>IF(AL26="YES",HLOOKUP(E26,'2. AWARDS'!$F$7:$J$47,40,FALSE)/5*HLOOKUP(E26,'2. AWARDS'!$F$7:$J$37,31,FALSE)*L26/(HLOOKUP(E26,'2. AWARDS'!$F$7:$J$37,31,FALSE)*2)*M26*MAX(W26:AA26)*(1+HLOOKUP(E26,'2. AWARDS'!$F$7:$J$43,37,FALSE))*(1-AM26),0)</f>
        <v>0</v>
      </c>
      <c r="AR26" s="839">
        <f>(IF(AJ26="YES",HLOOKUP(E26,'2. AWARDS'!$F$7:$J$39,32,FALSE),0)+IF(AK26="YES",HLOOKUP(E26,'2. AWARDS'!$F$7:$J$39,33,FALSE),0)+IF(AL26="YES",HLOOKUP(E26,'2. AWARDS'!$F$7:$J$47,40,FALSE),0))*L26/76*7.6*AM26*AN26*M26</f>
        <v>0</v>
      </c>
      <c r="AS26" s="683"/>
      <c r="AT26" s="802">
        <f>'1. KEY DATA'!J$29</f>
        <v>0</v>
      </c>
      <c r="AU26" s="822">
        <f>'1. KEY DATA'!J$30</f>
        <v>0.09</v>
      </c>
      <c r="AV26" s="502"/>
      <c r="AW26" s="478">
        <f t="shared" si="21"/>
        <v>0</v>
      </c>
      <c r="AX26" s="502"/>
      <c r="AY26" s="996"/>
      <c r="AZ26" s="997"/>
      <c r="BA26" s="997"/>
      <c r="BB26" s="997"/>
      <c r="BC26" s="997"/>
      <c r="BD26" s="997"/>
      <c r="BE26" s="997"/>
      <c r="BF26" s="997"/>
      <c r="BG26" s="997"/>
      <c r="BH26" s="997"/>
      <c r="BI26" s="1392"/>
      <c r="BJ26" s="1393"/>
      <c r="BK26" s="1393"/>
      <c r="BL26" s="1394"/>
      <c r="BM26" s="301">
        <f t="shared" si="22"/>
        <v>1</v>
      </c>
      <c r="BO26" s="244">
        <f t="shared" si="23"/>
        <v>0</v>
      </c>
      <c r="BP26" s="245">
        <f t="shared" si="24"/>
        <v>0</v>
      </c>
      <c r="BQ26" s="245">
        <f t="shared" si="25"/>
        <v>0</v>
      </c>
      <c r="BR26" s="245">
        <f t="shared" si="26"/>
        <v>0</v>
      </c>
      <c r="BS26" s="245">
        <f t="shared" si="27"/>
        <v>0</v>
      </c>
      <c r="BT26" s="245">
        <f t="shared" si="28"/>
        <v>0</v>
      </c>
      <c r="BU26" s="245">
        <f t="shared" si="29"/>
        <v>0</v>
      </c>
      <c r="BV26" s="245">
        <f t="shared" si="30"/>
        <v>0</v>
      </c>
      <c r="BW26" s="245">
        <f t="shared" si="31"/>
        <v>0</v>
      </c>
      <c r="BX26" s="246">
        <f t="shared" si="32"/>
        <v>0</v>
      </c>
      <c r="BY26" s="1380"/>
      <c r="BZ26" s="1381"/>
      <c r="CA26" s="1381"/>
      <c r="CB26" s="1382"/>
    </row>
    <row r="27" spans="1:80" ht="15.75" thickBot="1">
      <c r="A27">
        <f t="shared" si="0"/>
        <v>14</v>
      </c>
      <c r="B27" s="217"/>
      <c r="C27" s="214"/>
      <c r="D27" s="699">
        <f t="shared" si="33"/>
        <v>0</v>
      </c>
      <c r="E27" s="626"/>
      <c r="F27" s="900"/>
      <c r="G27" s="702"/>
      <c r="H27" s="693"/>
      <c r="I27" s="694"/>
      <c r="J27" s="1113"/>
      <c r="K27" s="1114"/>
      <c r="L27" s="1109"/>
      <c r="M27" s="689"/>
      <c r="N27" s="628"/>
      <c r="O27" s="629"/>
      <c r="P27" s="638">
        <f t="shared" si="36"/>
        <v>0.03</v>
      </c>
      <c r="Q27" s="629"/>
      <c r="R27" s="673" t="str">
        <f t="shared" si="17"/>
        <v>-</v>
      </c>
      <c r="S27" s="649"/>
      <c r="T27" s="647"/>
      <c r="U27" s="827"/>
      <c r="V27" s="670"/>
      <c r="W27" s="798">
        <f t="shared" si="18"/>
        <v>0</v>
      </c>
      <c r="X27" s="656">
        <f>IF(OR(E27=0,F27=0),0,IF(E27='2. AWARDS'!F$7,VLOOKUP(F27,'2. AWARDS'!$C$9:$F$35,4,FALSE),IF(E27='2. AWARDS'!G$7,VLOOKUP(F27,'2. AWARDS'!$C$9:$G$35,5,FALSE),IF(E27='2. AWARDS'!H$7,VLOOKUP(F27,'2. AWARDS'!$C$9:$H$35,6,FALSE),IF(E27='2. AWARDS'!I$7,VLOOKUP(F27,'2. AWARDS'!$C$9:$I$35,7,FALSE),VLOOKUP(F27,'2. AWARDS'!$C$9:$J$35,8,FALSE))))))</f>
        <v>0</v>
      </c>
      <c r="Y27" s="980">
        <f>IF(OR(E27=0,F27=0),0,IF(AND(N27=0,E27='2. AWARDS'!F$7,VLOOKUP(F27,'2. AWARDS'!$C$9:$O$35,9,FALSE)&lt;&gt;0),"date missing",IF(AND(N27=0,E27='2. AWARDS'!G$7,VLOOKUP(F27,'2. AWARDS'!$C$9:$O$35,10,FALSE)&lt;&gt;0),"date missing",IF(AND(N27=0,E27='2. AWARDS'!H$7,VLOOKUP(F27,'2. AWARDS'!$C$9:$O$35,11,FALSE)&lt;&gt;0),"date missing",IF(AND(N27=0,E27='2. AWARDS'!I$7,VLOOKUP(F27,'2. AWARDS'!$C$9:$O$35,12,FALSE)&lt;&gt;0),"date missing",IF(AND(N27=0,E27='2. AWARDS'!J$7,VLOOKUP(F27,'2. AWARDS'!$C$9:$O$35,13,FALSE)&lt;&gt;0),"date missing",IF(N27=0,0,IF(OR(N27=MIN(O27,Q27),AND(N27&lt;O27,N27&lt;Q27,N27&gt;0)),IF(E27='2. AWARDS'!F$7,VLOOKUP(F27,'2. AWARDS'!$C$9:$O$35,9,FALSE),IF(E27='2. AWARDS'!G$7,VLOOKUP(F27,'2. AWARDS'!$C$9:$O$35,10,FALSE),IF(E27='2. AWARDS'!H$7,VLOOKUP(F27,'2. AWARDS'!$C$9:$O$35,11,FALSE),IF(E27='2. AWARDS'!I$7,VLOOKUP(F27,'2. AWARDS'!$C$9:$O$35,12,FALSE),IF(E27='2. AWARDS'!J$7,VLOOKUP(F27,'2. AWARDS'!$C$9:$O$35,13,FALSE)))))),IF(AND(N27&gt;O27,N27&lt;Q27),IF(E27='2. AWARDS'!F$7,(1+P27)*VLOOKUP(F27,'2. AWARDS'!$C$9:$O$35,9,FALSE),IF(E27='2. AWARDS'!G$7,(1+P27)*VLOOKUP(F27,'2. AWARDS'!$C$9:$O$35,10,FALSE),IF(E27='2. AWARDS'!H$7,(1+P27)*VLOOKUP(F27,'2. AWARDS'!$C$9:$O$35,11,FALSE),IF(E27='2. AWARDS'!I$7,(1+P27)*VLOOKUP(F27,'2. AWARDS'!$C$9:$O$35,12,FALSE),IF(E27='2. AWARDS'!J$7,(1+P27)*VLOOKUP(F27,'2. AWARDS'!$C$9:$O$35,13,FALSE)))))),IF(AND(N27&lt;O27,N27&gt;Q27),IF(E27='2. AWARDS'!F$7,(1+(R27/9))*VLOOKUP(F27,'2. AWARDS'!$C$9:$O$35,9,FALSE),IF(E27='2. AWARDS'!G$7,(1+(R27/9))*VLOOKUP(F27,'2. AWARDS'!$C$9:$O$35,10,FALSE),IF(E27='2. AWARDS'!H$7,(1+(R27/9))*VLOOKUP(F27,'2. AWARDS'!$C$9:$O$35,11,FALSE),IF(E27='2. AWARDS'!I$7,(1+(R27/9))*VLOOKUP(F27,'2. AWARDS'!$C$9:$O$35,12,FALSE),IF(E27='2. AWARDS'!J$7,(1+(R27/9))*VLOOKUP(F27,'2. AWARDS'!$C$9:$O$35,13,FALSE)))))),IF(OR(N27=MAX(O27,Q27),AND(N27&gt;O27,N27&gt;Q27)),IF(E27='2. AWARDS'!F$7,((1+(R27/9))*(1+P27))*VLOOKUP(F27,'2. AWARDS'!$C$9:$O$35,9,FALSE),IF(E27='2. AWARDS'!G$7,((1+(R27/9))*(1+P27))*VLOOKUP(F27,'2. AWARDS'!$C$9:$O$35,10,FALSE),IF(E27='2. AWARDS'!H$7,((1+(R27/9))*(1+P27))*VLOOKUP(F27,'2. AWARDS'!$C$9:$O$35,11,FALSE),IF(E27='2. AWARDS'!I$7,((1+(R27/9))*(1+P27))*VLOOKUP(F27,'2. AWARDS'!$C$9:$O$35,12,FALSE),IF(E27='2. AWARDS'!J$7,((1+(R27/9))*(1+P27))*VLOOKUP(F27,'2. AWARDS'!$C$9:$O$35,13,FALSE)))))),"?")))))))))))</f>
        <v>0</v>
      </c>
      <c r="Z27" s="1093" t="e">
        <f>IF(AND(E27='2. AWARDS'!F20,O27&gt;N27,O27&gt;Q27,VLOOKUP(F27,'2. AWARDS'!$C$9:$O$35,9,FALSE)&lt;&gt;0),VLOOKUP(F27,'2. AWARDS'!$C$9:$O$35,9,FALSE)*(1+P27)*(1+(R27/9)),IF(AND(E27='2. AWARDS'!F20,O27&gt;N27,O27&gt;Q27,VLOOKUP(F27,'2. AWARDS'!$C$9:$O$35,9,FALSE)=0),X27*(1+P27)*(1+(R27/9)),IF(AND(E27='2. AWARDS'!G20,O27&gt;N27,O27&gt;Q27,VLOOKUP(F27,'2. AWARDS'!$C$9:$O$35,10,FALSE)&lt;&gt;0),VLOOKUP(F27,'2. AWARDS'!$C$9:$O$35,10,FALSE)*(1+P27)*(1+(R27/9)),IF(AND(E27='2. AWARDS'!G20,O27&gt;N27,O27&gt;Q27,VLOOKUP(F27,'2. AWARDS'!$C$9:$O$35,10,FALSE)=0),X27*(1+P27)*(1+(R27/9)),IF(AND(E27='2. AWARDS'!H20,O27&gt;N27,O27&gt;Q27,VLOOKUP(F27,'2. AWARDS'!$C$9:$O$35,11,FALSE)&lt;&gt;0),VLOOKUP(F27,'2. AWARDS'!$C$9:$O$35,11,FALSE)*(1+P27)*(1+(R27/9)),IF(AND(E27='2. AWARDS'!H20,O27&gt;N27,O27&gt;Q27,VLOOKUP(F27,'2. AWARDS'!$C$9:$O$35,11,FALSE)=0),X27*(1+P27)*(1+(R27/9)),IF(AND(E27='2. AWARDS'!I20,O27&gt;N27,O27&gt;Q27,VLOOKUP(F27,'2. AWARDS'!$C$9:$O$35,12,FALSE)&lt;&gt;0),VLOOKUP(F27,'2. AWARDS'!$C$9:$O$35,12,FALSE)*(1+P27)*(1+(R27/9)),IF(AND(E27='2. AWARDS'!I20,O27&gt;N27,O27&gt;Q27,VLOOKUP(F27,'2. AWARDS'!$C$9:$O$35,12,FALSE)=0),X27*(1+P27)*(1+(R27/9)),IF(AND(E27='2. AWARDS'!J20,O27&gt;N27,O27&gt;Q27,VLOOKUP(F27,'2. AWARDS'!$C$9:$O$35,13,FALSE)&lt;&gt;0),VLOOKUP(F27,'2. AWARDS'!$C$9:$O$35,13,FALSE)*(1+P27)*(1+(R27/9)),IF(AND(E27='2. AWARDS'!J20,O27&gt;N27,O27&gt;Q27,VLOOKUP(F27,'2. AWARDS'!$C$9:$O$35,13,FALSE)=0),X27*(1+P27)*(1+(R27/9)),IF(AND(O27&lt;N27,O27&gt;Q27),X27*(1+P27)*(1+(R27/9)),IF(AND(E27='2. AWARDS'!F20,O27=MAX(N27,Q27),VLOOKUP(F27,'2. AWARDS'!$C$9:$O$35,9,FALSE)&lt;&gt;0),VLOOKUP(F27,'2. AWARDS'!$C$9:$O$35,9,FALSE)*(1+P27)*(1+(R27/9)),IF(AND(E27='2. AWARDS'!F20,O27=MAX(N27,Q27),VLOOKUP(F27,'2. AWARDS'!$C$9:$O$35,9,FALSE)=0),X27*(1+P27)*(1+(R27/9)),IF(AND(E27='2. AWARDS'!G20,O27=MAX(N27,Q27),VLOOKUP(F27,'2. AWARDS'!$C$9:$O$35,10,FALSE)&lt;&gt;0),VLOOKUP(F27,'2. AWARDS'!$C$9:$O$35,10,FALSE)*(1+P27)*(1+(R27/9)),IF(AND(E27='2. AWARDS'!G20,O27=MAX(N27,Q27),VLOOKUP(F27,'2. AWARDS'!$C$9:$O$35,10,FALSE)=0),X27*(1+P27)*(1+(R27/9)),IF(AND(E27='2. AWARDS'!H20,O27=MAX(N27,Q27),VLOOKUP(F27,'2. AWARDS'!$C$9:$O$35,11,FALSE)&lt;&gt;0),VLOOKUP(F27,'2. AWARDS'!$C$9:$O$35,11,FALSE)*(1+P27)*(1+(R27/9)),IF(AND(E27='2. AWARDS'!H20,O27=MAX(N27,Q27),VLOOKUP(F27,'2. AWARDS'!$C$9:$O$35,11,FALSE)=0),X27*(1+P27)*(1+(R27/9)),IF(AND(E27='2. AWARDS'!I20,O27=MAX(N27,Q27),VLOOKUP(F27,'2. AWARDS'!$C$9:$O$35,12,FALSE)&lt;&gt;0),VLOOKUP(F27,'2. AWARDS'!$C$9:$O$35,12,FALSE)*(1+P27)*(1+(R27/9)),IF(AND(E27='2. AWARDS'!I20,O27=MAX(N27,Q27),VLOOKUP(F27,'2. AWARDS'!$C$9:$O$35,12,FALSE)=0),X27*(1+P27)*(1+(R27/9)),IF(AND(E27='2. AWARDS'!J20,O27=MAX(N27,Q27),VLOOKUP(F27,'2. AWARDS'!$C$9:$O$35,13,FALSE)&lt;&gt;0),VLOOKUP(F27,'2. AWARDS'!$C$9:$O$35,13,FALSE)*(1+P27)*(1+(R27/9)),IF(AND(E27='2. AWARDS'!J20,O27=MAX(N27,Q27),VLOOKUP(F27,'2. AWARDS'!$C$9:$O$35,13,FALSE)=0),X27*(1+P27)*(1+(R27/9)),IF(AND(O27&lt;N27,O27&lt;Q27),X27*(1+P27),IF(AND(O27=N27,N27&lt;Q27,E27='2. AWARDS'!F20),VLOOKUP(F27,'2. AWARDS'!$C$9:$O$35,9,FALSE)*(1+P27),IF(AND(O27=N27,N27&lt;Q27,E27='2. AWARDS'!G20),VLOOKUP(F27,'2. AWARDS'!$C$9:$O$35,10,FALSE)*(1+P27),IF(AND(O27=N27,N27&lt;Q27,E27='2. AWARDS'!H20),VLOOKUP(F27,'2. AWARDS'!$C$9:$O$35,11,FALSE)*(1+P27),IF(AND(O27=N27,N27&lt;Q27,E27='2. AWARDS'!I20),VLOOKUP(F27,'2. AWARDS'!$C$9:$O$35,12,FALSE)*(1+P27),IF(AND(O27=N27,N27&lt;Q27,E27='2. AWARDS'!J20),VLOOKUP(F27,'2. AWARDS'!$C$9:$O$35,13,FALSE)*(1+P27),IF(AND(O27=Q27,N27&gt;Q27),X27*(1+P27)*(1+(R27/9)),IF(AND(E27='2. AWARDS'!F20,O27&gt;N27,O27&lt;Q27,VLOOKUP(F27,'2. AWARDS'!$C$9:$O$35,9,FALSE)&lt;&gt;0),VLOOKUP(F27,'2. AWARDS'!$C$9:$O$35,9,FALSE)*(1+P27),IF(AND(E27='2. AWARDS'!G20,O27&gt;N27,O27&lt;Q27,VLOOKUP(F27,'2. AWARDS'!$C$9:$O$35,10,FALSE)&lt;&gt;0),VLOOKUP(F27,'2. AWARDS'!$C$9:$O$35,10,FALSE)*(1+P27),IF(AND(E27='2. AWARDS'!H20,O27&gt;N27,O27&lt;Q27,VLOOKUP(F27,'2. AWARDS'!$C$9:$O$35,11,FALSE)&lt;&gt;0),VLOOKUP(F27,'2. AWARDS'!$C$9:$O$35,11,FALSE)*(1+P27),IF(AND(E27='2. AWARDS'!I20,O27&gt;N27,O27&lt;Q27,VLOOKUP(F27,'2. AWARDS'!$C$9:$O$35,12,FALSE)&lt;&gt;0),VLOOKUP(F27,'2. AWARDS'!$C$9:$O$35,12,FALSE)*(1+P27),IF(AND(E27='2. AWARDS'!J20,O27&gt;N27,O27&lt;Q27,VLOOKUP(F27,'2. AWARDS'!$C$9:$O$35,13,FALSE)&lt;&gt;0),VLOOKUP(F27,'2. AWARDS'!$C$9:$O$35,13,FALSE)*(1+P27),X27*(1+P27))))))))))))))))))))))))))))))))))</f>
        <v>#N/A</v>
      </c>
      <c r="AA27" s="661" t="e">
        <f t="shared" si="35"/>
        <v>#N/A</v>
      </c>
      <c r="AB27" s="683"/>
      <c r="AC27" s="774"/>
      <c r="AD27" s="774"/>
      <c r="AE27" s="777"/>
      <c r="AF27" s="781">
        <f t="shared" si="20"/>
        <v>0</v>
      </c>
      <c r="AG27" s="781" t="e">
        <f>HLOOKUP(E27,'2. AWARDS'!$F$7:$J$40,32,FALSE)/5*HLOOKUP(E27,'2. AWARDS'!$F$7:$J$40,31,FALSE)*MAX(W27:AA27)*M27*HLOOKUP(E27,'2. AWARDS'!$F$7:$J$40,34,FALSE)*(L27/(38*2))</f>
        <v>#N/A</v>
      </c>
      <c r="AH27" s="783" t="e">
        <f>((HLOOKUP(E27,'2. AWARDS'!$F$7:$J$42,36,FALSE)/HLOOKUP(E27,'2. AWARDS'!$F$7:$J$42,35,FALSE)*HLOOKUP(E27,'2. AWARDS'!$F$7:$J$45,39,FALSE))/(HLOOKUP(E27,'2. AWARDS'!$F$7:$J$45,31,FALSE)*2)*L27*M27*HLOOKUP(E27,'2. AWARDS'!$F$7:$J$45,31,FALSE)*MAX(W27:AA27))</f>
        <v>#N/A</v>
      </c>
      <c r="AI27" s="474"/>
      <c r="AJ27" s="804"/>
      <c r="AK27" s="801"/>
      <c r="AL27" s="801"/>
      <c r="AM27" s="802"/>
      <c r="AN27" s="1012"/>
      <c r="AO27" s="836">
        <f>IF(AJ27="YES",HLOOKUP(E27,'2. AWARDS'!$F$7:$J$38,32,FALSE)/5*HLOOKUP(E27,'2. AWARDS'!$F$7:$J$37,31,FALSE)*L27/(HLOOKUP(E27,'2. AWARDS'!$F$7:$J$37,31,FALSE)*2)*M27*MAX(W27:AA27)*(1+HLOOKUP(E27,'2. AWARDS'!$F$7:$J$43,37,FALSE))*(1-AM27),0)</f>
        <v>0</v>
      </c>
      <c r="AP27" s="836">
        <f>IF(AK27="YES",HLOOKUP(E27,'2. AWARDS'!$F$7:$J$39,33,FALSE)/5*HLOOKUP(E27,'2. AWARDS'!$F$7:$J$37,31,FALSE)*L27/(HLOOKUP(E27,'2. AWARDS'!$F$7:$J$37,31,FALSE)*2)*M27*MAX(W27:AA27)*(1+HLOOKUP(E27,'2. AWARDS'!$F$7:$J$43,37,FALSE))*(1-AM27),0)</f>
        <v>0</v>
      </c>
      <c r="AQ27" s="838">
        <f>IF(AL27="YES",HLOOKUP(E27,'2. AWARDS'!$F$7:$J$47,40,FALSE)/5*HLOOKUP(E27,'2. AWARDS'!$F$7:$J$37,31,FALSE)*L27/(HLOOKUP(E27,'2. AWARDS'!$F$7:$J$37,31,FALSE)*2)*M27*MAX(W27:AA27)*(1+HLOOKUP(E27,'2. AWARDS'!$F$7:$J$43,37,FALSE))*(1-AM27),0)</f>
        <v>0</v>
      </c>
      <c r="AR27" s="839">
        <f>(IF(AJ27="YES",HLOOKUP(E27,'2. AWARDS'!$F$7:$J$39,32,FALSE),0)+IF(AK27="YES",HLOOKUP(E27,'2. AWARDS'!$F$7:$J$39,33,FALSE),0)+IF(AL27="YES",HLOOKUP(E27,'2. AWARDS'!$F$7:$J$47,40,FALSE),0))*L27/76*7.6*AM27*AN27*M27</f>
        <v>0</v>
      </c>
      <c r="AS27" s="683"/>
      <c r="AT27" s="802">
        <f>'1. KEY DATA'!J$29</f>
        <v>0</v>
      </c>
      <c r="AU27" s="822">
        <f>'1. KEY DATA'!J$30</f>
        <v>0.09</v>
      </c>
      <c r="AV27" s="502"/>
      <c r="AW27" s="478">
        <f t="shared" si="21"/>
        <v>0</v>
      </c>
      <c r="AX27" s="502"/>
      <c r="AY27" s="998"/>
      <c r="AZ27" s="999"/>
      <c r="BA27" s="999"/>
      <c r="BB27" s="999"/>
      <c r="BC27" s="999"/>
      <c r="BD27" s="999"/>
      <c r="BE27" s="999"/>
      <c r="BF27" s="999"/>
      <c r="BG27" s="999"/>
      <c r="BH27" s="999"/>
      <c r="BI27" s="1392"/>
      <c r="BJ27" s="1393"/>
      <c r="BK27" s="1393"/>
      <c r="BL27" s="1394"/>
      <c r="BM27" s="301">
        <f t="shared" si="22"/>
        <v>1</v>
      </c>
      <c r="BO27" s="244">
        <f t="shared" si="23"/>
        <v>0</v>
      </c>
      <c r="BP27" s="245">
        <f t="shared" si="24"/>
        <v>0</v>
      </c>
      <c r="BQ27" s="245">
        <f t="shared" si="25"/>
        <v>0</v>
      </c>
      <c r="BR27" s="245">
        <f t="shared" si="26"/>
        <v>0</v>
      </c>
      <c r="BS27" s="245">
        <f t="shared" si="27"/>
        <v>0</v>
      </c>
      <c r="BT27" s="245">
        <f t="shared" si="28"/>
        <v>0</v>
      </c>
      <c r="BU27" s="245">
        <f t="shared" si="29"/>
        <v>0</v>
      </c>
      <c r="BV27" s="245">
        <f t="shared" si="30"/>
        <v>0</v>
      </c>
      <c r="BW27" s="245">
        <f t="shared" si="31"/>
        <v>0</v>
      </c>
      <c r="BX27" s="246">
        <f t="shared" si="32"/>
        <v>0</v>
      </c>
      <c r="BY27" s="1380"/>
      <c r="BZ27" s="1381"/>
      <c r="CA27" s="1381"/>
      <c r="CB27" s="1382"/>
    </row>
    <row r="28" spans="1:80" ht="15.75" thickBot="1">
      <c r="A28">
        <f t="shared" si="0"/>
        <v>15</v>
      </c>
      <c r="B28" s="217"/>
      <c r="C28" s="214"/>
      <c r="D28" s="699">
        <f t="shared" si="33"/>
        <v>0</v>
      </c>
      <c r="E28" s="626"/>
      <c r="F28" s="900"/>
      <c r="G28" s="702"/>
      <c r="H28" s="693"/>
      <c r="I28" s="694"/>
      <c r="J28" s="1113"/>
      <c r="K28" s="1114"/>
      <c r="L28" s="1109"/>
      <c r="M28" s="689"/>
      <c r="N28" s="628"/>
      <c r="O28" s="629"/>
      <c r="P28" s="638">
        <f t="shared" si="36"/>
        <v>0.03</v>
      </c>
      <c r="Q28" s="629"/>
      <c r="R28" s="673" t="str">
        <f t="shared" si="17"/>
        <v>-</v>
      </c>
      <c r="S28" s="649"/>
      <c r="T28" s="647"/>
      <c r="U28" s="827"/>
      <c r="V28" s="670"/>
      <c r="W28" s="798">
        <f t="shared" si="18"/>
        <v>0</v>
      </c>
      <c r="X28" s="656">
        <f>IF(OR(E28=0,F28=0),0,IF(E28='2. AWARDS'!F$7,VLOOKUP(F28,'2. AWARDS'!$C$9:$F$35,4,FALSE),IF(E28='2. AWARDS'!G$7,VLOOKUP(F28,'2. AWARDS'!$C$9:$G$35,5,FALSE),IF(E28='2. AWARDS'!H$7,VLOOKUP(F28,'2. AWARDS'!$C$9:$H$35,6,FALSE),IF(E28='2. AWARDS'!I$7,VLOOKUP(F28,'2. AWARDS'!$C$9:$I$35,7,FALSE),VLOOKUP(F28,'2. AWARDS'!$C$9:$J$35,8,FALSE))))))</f>
        <v>0</v>
      </c>
      <c r="Y28" s="980">
        <f>IF(OR(E28=0,F28=0),0,IF(AND(N28=0,E28='2. AWARDS'!F$7,VLOOKUP(F28,'2. AWARDS'!$C$9:$O$35,9,FALSE)&lt;&gt;0),"date missing",IF(AND(N28=0,E28='2. AWARDS'!G$7,VLOOKUP(F28,'2. AWARDS'!$C$9:$O$35,10,FALSE)&lt;&gt;0),"date missing",IF(AND(N28=0,E28='2. AWARDS'!H$7,VLOOKUP(F28,'2. AWARDS'!$C$9:$O$35,11,FALSE)&lt;&gt;0),"date missing",IF(AND(N28=0,E28='2. AWARDS'!I$7,VLOOKUP(F28,'2. AWARDS'!$C$9:$O$35,12,FALSE)&lt;&gt;0),"date missing",IF(AND(N28=0,E28='2. AWARDS'!J$7,VLOOKUP(F28,'2. AWARDS'!$C$9:$O$35,13,FALSE)&lt;&gt;0),"date missing",IF(N28=0,0,IF(OR(N28=MIN(O28,Q28),AND(N28&lt;O28,N28&lt;Q28,N28&gt;0)),IF(E28='2. AWARDS'!F$7,VLOOKUP(F28,'2. AWARDS'!$C$9:$O$35,9,FALSE),IF(E28='2. AWARDS'!G$7,VLOOKUP(F28,'2. AWARDS'!$C$9:$O$35,10,FALSE),IF(E28='2. AWARDS'!H$7,VLOOKUP(F28,'2. AWARDS'!$C$9:$O$35,11,FALSE),IF(E28='2. AWARDS'!I$7,VLOOKUP(F28,'2. AWARDS'!$C$9:$O$35,12,FALSE),IF(E28='2. AWARDS'!J$7,VLOOKUP(F28,'2. AWARDS'!$C$9:$O$35,13,FALSE)))))),IF(AND(N28&gt;O28,N28&lt;Q28),IF(E28='2. AWARDS'!F$7,(1+P28)*VLOOKUP(F28,'2. AWARDS'!$C$9:$O$35,9,FALSE),IF(E28='2. AWARDS'!G$7,(1+P28)*VLOOKUP(F28,'2. AWARDS'!$C$9:$O$35,10,FALSE),IF(E28='2. AWARDS'!H$7,(1+P28)*VLOOKUP(F28,'2. AWARDS'!$C$9:$O$35,11,FALSE),IF(E28='2. AWARDS'!I$7,(1+P28)*VLOOKUP(F28,'2. AWARDS'!$C$9:$O$35,12,FALSE),IF(E28='2. AWARDS'!J$7,(1+P28)*VLOOKUP(F28,'2. AWARDS'!$C$9:$O$35,13,FALSE)))))),IF(AND(N28&lt;O28,N28&gt;Q28),IF(E28='2. AWARDS'!F$7,(1+(R28/9))*VLOOKUP(F28,'2. AWARDS'!$C$9:$O$35,9,FALSE),IF(E28='2. AWARDS'!G$7,(1+(R28/9))*VLOOKUP(F28,'2. AWARDS'!$C$9:$O$35,10,FALSE),IF(E28='2. AWARDS'!H$7,(1+(R28/9))*VLOOKUP(F28,'2. AWARDS'!$C$9:$O$35,11,FALSE),IF(E28='2. AWARDS'!I$7,(1+(R28/9))*VLOOKUP(F28,'2. AWARDS'!$C$9:$O$35,12,FALSE),IF(E28='2. AWARDS'!J$7,(1+(R28/9))*VLOOKUP(F28,'2. AWARDS'!$C$9:$O$35,13,FALSE)))))),IF(OR(N28=MAX(O28,Q28),AND(N28&gt;O28,N28&gt;Q28)),IF(E28='2. AWARDS'!F$7,((1+(R28/9))*(1+P28))*VLOOKUP(F28,'2. AWARDS'!$C$9:$O$35,9,FALSE),IF(E28='2. AWARDS'!G$7,((1+(R28/9))*(1+P28))*VLOOKUP(F28,'2. AWARDS'!$C$9:$O$35,10,FALSE),IF(E28='2. AWARDS'!H$7,((1+(R28/9))*(1+P28))*VLOOKUP(F28,'2. AWARDS'!$C$9:$O$35,11,FALSE),IF(E28='2. AWARDS'!I$7,((1+(R28/9))*(1+P28))*VLOOKUP(F28,'2. AWARDS'!$C$9:$O$35,12,FALSE),IF(E28='2. AWARDS'!J$7,((1+(R28/9))*(1+P28))*VLOOKUP(F28,'2. AWARDS'!$C$9:$O$35,13,FALSE)))))),"?")))))))))))</f>
        <v>0</v>
      </c>
      <c r="Z28" s="1093" t="e">
        <f>IF(AND(E28='2. AWARDS'!F21,O28&gt;N28,O28&gt;Q28,VLOOKUP(F28,'2. AWARDS'!$C$9:$O$35,9,FALSE)&lt;&gt;0),VLOOKUP(F28,'2. AWARDS'!$C$9:$O$35,9,FALSE)*(1+P28)*(1+(R28/9)),IF(AND(E28='2. AWARDS'!F21,O28&gt;N28,O28&gt;Q28,VLOOKUP(F28,'2. AWARDS'!$C$9:$O$35,9,FALSE)=0),X28*(1+P28)*(1+(R28/9)),IF(AND(E28='2. AWARDS'!G21,O28&gt;N28,O28&gt;Q28,VLOOKUP(F28,'2. AWARDS'!$C$9:$O$35,10,FALSE)&lt;&gt;0),VLOOKUP(F28,'2. AWARDS'!$C$9:$O$35,10,FALSE)*(1+P28)*(1+(R28/9)),IF(AND(E28='2. AWARDS'!G21,O28&gt;N28,O28&gt;Q28,VLOOKUP(F28,'2. AWARDS'!$C$9:$O$35,10,FALSE)=0),X28*(1+P28)*(1+(R28/9)),IF(AND(E28='2. AWARDS'!H21,O28&gt;N28,O28&gt;Q28,VLOOKUP(F28,'2. AWARDS'!$C$9:$O$35,11,FALSE)&lt;&gt;0),VLOOKUP(F28,'2. AWARDS'!$C$9:$O$35,11,FALSE)*(1+P28)*(1+(R28/9)),IF(AND(E28='2. AWARDS'!H21,O28&gt;N28,O28&gt;Q28,VLOOKUP(F28,'2. AWARDS'!$C$9:$O$35,11,FALSE)=0),X28*(1+P28)*(1+(R28/9)),IF(AND(E28='2. AWARDS'!I21,O28&gt;N28,O28&gt;Q28,VLOOKUP(F28,'2. AWARDS'!$C$9:$O$35,12,FALSE)&lt;&gt;0),VLOOKUP(F28,'2. AWARDS'!$C$9:$O$35,12,FALSE)*(1+P28)*(1+(R28/9)),IF(AND(E28='2. AWARDS'!I21,O28&gt;N28,O28&gt;Q28,VLOOKUP(F28,'2. AWARDS'!$C$9:$O$35,12,FALSE)=0),X28*(1+P28)*(1+(R28/9)),IF(AND(E28='2. AWARDS'!J21,O28&gt;N28,O28&gt;Q28,VLOOKUP(F28,'2. AWARDS'!$C$9:$O$35,13,FALSE)&lt;&gt;0),VLOOKUP(F28,'2. AWARDS'!$C$9:$O$35,13,FALSE)*(1+P28)*(1+(R28/9)),IF(AND(E28='2. AWARDS'!J21,O28&gt;N28,O28&gt;Q28,VLOOKUP(F28,'2. AWARDS'!$C$9:$O$35,13,FALSE)=0),X28*(1+P28)*(1+(R28/9)),IF(AND(O28&lt;N28,O28&gt;Q28),X28*(1+P28)*(1+(R28/9)),IF(AND(E28='2. AWARDS'!F21,O28=MAX(N28,Q28),VLOOKUP(F28,'2. AWARDS'!$C$9:$O$35,9,FALSE)&lt;&gt;0),VLOOKUP(F28,'2. AWARDS'!$C$9:$O$35,9,FALSE)*(1+P28)*(1+(R28/9)),IF(AND(E28='2. AWARDS'!F21,O28=MAX(N28,Q28),VLOOKUP(F28,'2. AWARDS'!$C$9:$O$35,9,FALSE)=0),X28*(1+P28)*(1+(R28/9)),IF(AND(E28='2. AWARDS'!G21,O28=MAX(N28,Q28),VLOOKUP(F28,'2. AWARDS'!$C$9:$O$35,10,FALSE)&lt;&gt;0),VLOOKUP(F28,'2. AWARDS'!$C$9:$O$35,10,FALSE)*(1+P28)*(1+(R28/9)),IF(AND(E28='2. AWARDS'!G21,O28=MAX(N28,Q28),VLOOKUP(F28,'2. AWARDS'!$C$9:$O$35,10,FALSE)=0),X28*(1+P28)*(1+(R28/9)),IF(AND(E28='2. AWARDS'!H21,O28=MAX(N28,Q28),VLOOKUP(F28,'2. AWARDS'!$C$9:$O$35,11,FALSE)&lt;&gt;0),VLOOKUP(F28,'2. AWARDS'!$C$9:$O$35,11,FALSE)*(1+P28)*(1+(R28/9)),IF(AND(E28='2. AWARDS'!H21,O28=MAX(N28,Q28),VLOOKUP(F28,'2. AWARDS'!$C$9:$O$35,11,FALSE)=0),X28*(1+P28)*(1+(R28/9)),IF(AND(E28='2. AWARDS'!I21,O28=MAX(N28,Q28),VLOOKUP(F28,'2. AWARDS'!$C$9:$O$35,12,FALSE)&lt;&gt;0),VLOOKUP(F28,'2. AWARDS'!$C$9:$O$35,12,FALSE)*(1+P28)*(1+(R28/9)),IF(AND(E28='2. AWARDS'!I21,O28=MAX(N28,Q28),VLOOKUP(F28,'2. AWARDS'!$C$9:$O$35,12,FALSE)=0),X28*(1+P28)*(1+(R28/9)),IF(AND(E28='2. AWARDS'!J21,O28=MAX(N28,Q28),VLOOKUP(F28,'2. AWARDS'!$C$9:$O$35,13,FALSE)&lt;&gt;0),VLOOKUP(F28,'2. AWARDS'!$C$9:$O$35,13,FALSE)*(1+P28)*(1+(R28/9)),IF(AND(E28='2. AWARDS'!J21,O28=MAX(N28,Q28),VLOOKUP(F28,'2. AWARDS'!$C$9:$O$35,13,FALSE)=0),X28*(1+P28)*(1+(R28/9)),IF(AND(O28&lt;N28,O28&lt;Q28),X28*(1+P28),IF(AND(O28=N28,N28&lt;Q28,E28='2. AWARDS'!F21),VLOOKUP(F28,'2. AWARDS'!$C$9:$O$35,9,FALSE)*(1+P28),IF(AND(O28=N28,N28&lt;Q28,E28='2. AWARDS'!G21),VLOOKUP(F28,'2. AWARDS'!$C$9:$O$35,10,FALSE)*(1+P28),IF(AND(O28=N28,N28&lt;Q28,E28='2. AWARDS'!H21),VLOOKUP(F28,'2. AWARDS'!$C$9:$O$35,11,FALSE)*(1+P28),IF(AND(O28=N28,N28&lt;Q28,E28='2. AWARDS'!I21),VLOOKUP(F28,'2. AWARDS'!$C$9:$O$35,12,FALSE)*(1+P28),IF(AND(O28=N28,N28&lt;Q28,E28='2. AWARDS'!J21),VLOOKUP(F28,'2. AWARDS'!$C$9:$O$35,13,FALSE)*(1+P28),IF(AND(O28=Q28,N28&gt;Q28),X28*(1+P28)*(1+(R28/9)),IF(AND(E28='2. AWARDS'!F21,O28&gt;N28,O28&lt;Q28,VLOOKUP(F28,'2. AWARDS'!$C$9:$O$35,9,FALSE)&lt;&gt;0),VLOOKUP(F28,'2. AWARDS'!$C$9:$O$35,9,FALSE)*(1+P28),IF(AND(E28='2. AWARDS'!G21,O28&gt;N28,O28&lt;Q28,VLOOKUP(F28,'2. AWARDS'!$C$9:$O$35,10,FALSE)&lt;&gt;0),VLOOKUP(F28,'2. AWARDS'!$C$9:$O$35,10,FALSE)*(1+P28),IF(AND(E28='2. AWARDS'!H21,O28&gt;N28,O28&lt;Q28,VLOOKUP(F28,'2. AWARDS'!$C$9:$O$35,11,FALSE)&lt;&gt;0),VLOOKUP(F28,'2. AWARDS'!$C$9:$O$35,11,FALSE)*(1+P28),IF(AND(E28='2. AWARDS'!I21,O28&gt;N28,O28&lt;Q28,VLOOKUP(F28,'2. AWARDS'!$C$9:$O$35,12,FALSE)&lt;&gt;0),VLOOKUP(F28,'2. AWARDS'!$C$9:$O$35,12,FALSE)*(1+P28),IF(AND(E28='2. AWARDS'!J21,O28&gt;N28,O28&lt;Q28,VLOOKUP(F28,'2. AWARDS'!$C$9:$O$35,13,FALSE)&lt;&gt;0),VLOOKUP(F28,'2. AWARDS'!$C$9:$O$35,13,FALSE)*(1+P28),X28*(1+P28))))))))))))))))))))))))))))))))))</f>
        <v>#N/A</v>
      </c>
      <c r="AA28" s="661" t="e">
        <f t="shared" si="35"/>
        <v>#N/A</v>
      </c>
      <c r="AB28" s="683"/>
      <c r="AC28" s="774"/>
      <c r="AD28" s="774"/>
      <c r="AE28" s="777"/>
      <c r="AF28" s="781">
        <f t="shared" si="20"/>
        <v>0</v>
      </c>
      <c r="AG28" s="781" t="e">
        <f>HLOOKUP(E28,'2. AWARDS'!$F$7:$J$40,32,FALSE)/5*HLOOKUP(E28,'2. AWARDS'!$F$7:$J$40,31,FALSE)*MAX(W28:AA28)*M28*HLOOKUP(E28,'2. AWARDS'!$F$7:$J$40,34,FALSE)*(L28/(38*2))</f>
        <v>#N/A</v>
      </c>
      <c r="AH28" s="783" t="e">
        <f>((HLOOKUP(E28,'2. AWARDS'!$F$7:$J$42,36,FALSE)/HLOOKUP(E28,'2. AWARDS'!$F$7:$J$42,35,FALSE)*HLOOKUP(E28,'2. AWARDS'!$F$7:$J$45,39,FALSE))/(HLOOKUP(E28,'2. AWARDS'!$F$7:$J$45,31,FALSE)*2)*L28*M28*HLOOKUP(E28,'2. AWARDS'!$F$7:$J$45,31,FALSE)*MAX(W28:AA28))</f>
        <v>#N/A</v>
      </c>
      <c r="AI28" s="474"/>
      <c r="AJ28" s="804"/>
      <c r="AK28" s="801"/>
      <c r="AL28" s="801"/>
      <c r="AM28" s="802"/>
      <c r="AN28" s="1012"/>
      <c r="AO28" s="836">
        <f>IF(AJ28="YES",HLOOKUP(E28,'2. AWARDS'!$F$7:$J$38,32,FALSE)/5*HLOOKUP(E28,'2. AWARDS'!$F$7:$J$37,31,FALSE)*L28/(HLOOKUP(E28,'2. AWARDS'!$F$7:$J$37,31,FALSE)*2)*M28*MAX(W28:AA28)*(1+HLOOKUP(E28,'2. AWARDS'!$F$7:$J$43,37,FALSE))*(1-AM28),0)</f>
        <v>0</v>
      </c>
      <c r="AP28" s="836">
        <f>IF(AK28="YES",HLOOKUP(E28,'2. AWARDS'!$F$7:$J$39,33,FALSE)/5*HLOOKUP(E28,'2. AWARDS'!$F$7:$J$37,31,FALSE)*L28/(HLOOKUP(E28,'2. AWARDS'!$F$7:$J$37,31,FALSE)*2)*M28*MAX(W28:AA28)*(1+HLOOKUP(E28,'2. AWARDS'!$F$7:$J$43,37,FALSE))*(1-AM28),0)</f>
        <v>0</v>
      </c>
      <c r="AQ28" s="838">
        <f>IF(AL28="YES",HLOOKUP(E28,'2. AWARDS'!$F$7:$J$47,40,FALSE)/5*HLOOKUP(E28,'2. AWARDS'!$F$7:$J$37,31,FALSE)*L28/(HLOOKUP(E28,'2. AWARDS'!$F$7:$J$37,31,FALSE)*2)*M28*MAX(W28:AA28)*(1+HLOOKUP(E28,'2. AWARDS'!$F$7:$J$43,37,FALSE))*(1-AM28),0)</f>
        <v>0</v>
      </c>
      <c r="AR28" s="839">
        <f>(IF(AJ28="YES",HLOOKUP(E28,'2. AWARDS'!$F$7:$J$39,32,FALSE),0)+IF(AK28="YES",HLOOKUP(E28,'2. AWARDS'!$F$7:$J$39,33,FALSE),0)+IF(AL28="YES",HLOOKUP(E28,'2. AWARDS'!$F$7:$J$47,40,FALSE),0))*L28/76*7.6*AM28*AN28*M28</f>
        <v>0</v>
      </c>
      <c r="AS28" s="683"/>
      <c r="AT28" s="802">
        <f>'1. KEY DATA'!J$29</f>
        <v>0</v>
      </c>
      <c r="AU28" s="822">
        <f>'1. KEY DATA'!J$30</f>
        <v>0.09</v>
      </c>
      <c r="AV28" s="502"/>
      <c r="AW28" s="478">
        <f t="shared" si="21"/>
        <v>0</v>
      </c>
      <c r="AX28" s="502"/>
      <c r="AY28" s="998"/>
      <c r="AZ28" s="999"/>
      <c r="BA28" s="999"/>
      <c r="BB28" s="999"/>
      <c r="BC28" s="999"/>
      <c r="BD28" s="999"/>
      <c r="BE28" s="999"/>
      <c r="BF28" s="999"/>
      <c r="BG28" s="999"/>
      <c r="BH28" s="999"/>
      <c r="BI28" s="1392"/>
      <c r="BJ28" s="1393"/>
      <c r="BK28" s="1393"/>
      <c r="BL28" s="1394"/>
      <c r="BM28" s="301">
        <f t="shared" si="22"/>
        <v>1</v>
      </c>
      <c r="BO28" s="244">
        <f t="shared" si="23"/>
        <v>0</v>
      </c>
      <c r="BP28" s="245">
        <f t="shared" si="24"/>
        <v>0</v>
      </c>
      <c r="BQ28" s="245">
        <f t="shared" si="25"/>
        <v>0</v>
      </c>
      <c r="BR28" s="245">
        <f t="shared" si="26"/>
        <v>0</v>
      </c>
      <c r="BS28" s="245">
        <f t="shared" si="27"/>
        <v>0</v>
      </c>
      <c r="BT28" s="245">
        <f t="shared" si="28"/>
        <v>0</v>
      </c>
      <c r="BU28" s="245">
        <f t="shared" si="29"/>
        <v>0</v>
      </c>
      <c r="BV28" s="245">
        <f t="shared" si="30"/>
        <v>0</v>
      </c>
      <c r="BW28" s="245">
        <f t="shared" si="31"/>
        <v>0</v>
      </c>
      <c r="BX28" s="246">
        <f t="shared" si="32"/>
        <v>0</v>
      </c>
      <c r="BY28" s="1380"/>
      <c r="BZ28" s="1381"/>
      <c r="CA28" s="1381"/>
      <c r="CB28" s="1382"/>
    </row>
    <row r="29" spans="1:80" ht="15.75" thickBot="1">
      <c r="A29">
        <f t="shared" si="0"/>
        <v>16</v>
      </c>
      <c r="B29" s="217"/>
      <c r="C29" s="214"/>
      <c r="D29" s="699">
        <f t="shared" si="33"/>
        <v>0</v>
      </c>
      <c r="E29" s="626"/>
      <c r="F29" s="900"/>
      <c r="G29" s="702"/>
      <c r="H29" s="693"/>
      <c r="I29" s="694"/>
      <c r="J29" s="1113"/>
      <c r="K29" s="1114"/>
      <c r="L29" s="1109"/>
      <c r="M29" s="689"/>
      <c r="N29" s="628"/>
      <c r="O29" s="629"/>
      <c r="P29" s="638">
        <f t="shared" si="36"/>
        <v>0.03</v>
      </c>
      <c r="Q29" s="629"/>
      <c r="R29" s="673" t="str">
        <f t="shared" si="17"/>
        <v>-</v>
      </c>
      <c r="S29" s="649"/>
      <c r="T29" s="647"/>
      <c r="U29" s="827"/>
      <c r="V29" s="670"/>
      <c r="W29" s="798">
        <f t="shared" si="18"/>
        <v>0</v>
      </c>
      <c r="X29" s="656">
        <f>IF(OR(E29=0,F29=0),0,IF(E29='2. AWARDS'!F$7,VLOOKUP(F29,'2. AWARDS'!$C$9:$F$35,4,FALSE),IF(E29='2. AWARDS'!G$7,VLOOKUP(F29,'2. AWARDS'!$C$9:$G$35,5,FALSE),IF(E29='2. AWARDS'!H$7,VLOOKUP(F29,'2. AWARDS'!$C$9:$H$35,6,FALSE),IF(E29='2. AWARDS'!I$7,VLOOKUP(F29,'2. AWARDS'!$C$9:$I$35,7,FALSE),VLOOKUP(F29,'2. AWARDS'!$C$9:$J$35,8,FALSE))))))</f>
        <v>0</v>
      </c>
      <c r="Y29" s="980">
        <f>IF(OR(E29=0,F29=0),0,IF(AND(N29=0,E29='2. AWARDS'!F$7,VLOOKUP(F29,'2. AWARDS'!$C$9:$O$35,9,FALSE)&lt;&gt;0),"date missing",IF(AND(N29=0,E29='2. AWARDS'!G$7,VLOOKUP(F29,'2. AWARDS'!$C$9:$O$35,10,FALSE)&lt;&gt;0),"date missing",IF(AND(N29=0,E29='2. AWARDS'!H$7,VLOOKUP(F29,'2. AWARDS'!$C$9:$O$35,11,FALSE)&lt;&gt;0),"date missing",IF(AND(N29=0,E29='2. AWARDS'!I$7,VLOOKUP(F29,'2. AWARDS'!$C$9:$O$35,12,FALSE)&lt;&gt;0),"date missing",IF(AND(N29=0,E29='2. AWARDS'!J$7,VLOOKUP(F29,'2. AWARDS'!$C$9:$O$35,13,FALSE)&lt;&gt;0),"date missing",IF(N29=0,0,IF(OR(N29=MIN(O29,Q29),AND(N29&lt;O29,N29&lt;Q29,N29&gt;0)),IF(E29='2. AWARDS'!F$7,VLOOKUP(F29,'2. AWARDS'!$C$9:$O$35,9,FALSE),IF(E29='2. AWARDS'!G$7,VLOOKUP(F29,'2. AWARDS'!$C$9:$O$35,10,FALSE),IF(E29='2. AWARDS'!H$7,VLOOKUP(F29,'2. AWARDS'!$C$9:$O$35,11,FALSE),IF(E29='2. AWARDS'!I$7,VLOOKUP(F29,'2. AWARDS'!$C$9:$O$35,12,FALSE),IF(E29='2. AWARDS'!J$7,VLOOKUP(F29,'2. AWARDS'!$C$9:$O$35,13,FALSE)))))),IF(AND(N29&gt;O29,N29&lt;Q29),IF(E29='2. AWARDS'!F$7,(1+P29)*VLOOKUP(F29,'2. AWARDS'!$C$9:$O$35,9,FALSE),IF(E29='2. AWARDS'!G$7,(1+P29)*VLOOKUP(F29,'2. AWARDS'!$C$9:$O$35,10,FALSE),IF(E29='2. AWARDS'!H$7,(1+P29)*VLOOKUP(F29,'2. AWARDS'!$C$9:$O$35,11,FALSE),IF(E29='2. AWARDS'!I$7,(1+P29)*VLOOKUP(F29,'2. AWARDS'!$C$9:$O$35,12,FALSE),IF(E29='2. AWARDS'!J$7,(1+P29)*VLOOKUP(F29,'2. AWARDS'!$C$9:$O$35,13,FALSE)))))),IF(AND(N29&lt;O29,N29&gt;Q29),IF(E29='2. AWARDS'!F$7,(1+(R29/9))*VLOOKUP(F29,'2. AWARDS'!$C$9:$O$35,9,FALSE),IF(E29='2. AWARDS'!G$7,(1+(R29/9))*VLOOKUP(F29,'2. AWARDS'!$C$9:$O$35,10,FALSE),IF(E29='2. AWARDS'!H$7,(1+(R29/9))*VLOOKUP(F29,'2. AWARDS'!$C$9:$O$35,11,FALSE),IF(E29='2. AWARDS'!I$7,(1+(R29/9))*VLOOKUP(F29,'2. AWARDS'!$C$9:$O$35,12,FALSE),IF(E29='2. AWARDS'!J$7,(1+(R29/9))*VLOOKUP(F29,'2. AWARDS'!$C$9:$O$35,13,FALSE)))))),IF(OR(N29=MAX(O29,Q29),AND(N29&gt;O29,N29&gt;Q29)),IF(E29='2. AWARDS'!F$7,((1+(R29/9))*(1+P29))*VLOOKUP(F29,'2. AWARDS'!$C$9:$O$35,9,FALSE),IF(E29='2. AWARDS'!G$7,((1+(R29/9))*(1+P29))*VLOOKUP(F29,'2. AWARDS'!$C$9:$O$35,10,FALSE),IF(E29='2. AWARDS'!H$7,((1+(R29/9))*(1+P29))*VLOOKUP(F29,'2. AWARDS'!$C$9:$O$35,11,FALSE),IF(E29='2. AWARDS'!I$7,((1+(R29/9))*(1+P29))*VLOOKUP(F29,'2. AWARDS'!$C$9:$O$35,12,FALSE),IF(E29='2. AWARDS'!J$7,((1+(R29/9))*(1+P29))*VLOOKUP(F29,'2. AWARDS'!$C$9:$O$35,13,FALSE)))))),"?")))))))))))</f>
        <v>0</v>
      </c>
      <c r="Z29" s="1093" t="e">
        <f>IF(AND(E29='2. AWARDS'!F22,O29&gt;N29,O29&gt;Q29,VLOOKUP(F29,'2. AWARDS'!$C$9:$O$35,9,FALSE)&lt;&gt;0),VLOOKUP(F29,'2. AWARDS'!$C$9:$O$35,9,FALSE)*(1+P29)*(1+(R29/9)),IF(AND(E29='2. AWARDS'!F22,O29&gt;N29,O29&gt;Q29,VLOOKUP(F29,'2. AWARDS'!$C$9:$O$35,9,FALSE)=0),X29*(1+P29)*(1+(R29/9)),IF(AND(E29='2. AWARDS'!G22,O29&gt;N29,O29&gt;Q29,VLOOKUP(F29,'2. AWARDS'!$C$9:$O$35,10,FALSE)&lt;&gt;0),VLOOKUP(F29,'2. AWARDS'!$C$9:$O$35,10,FALSE)*(1+P29)*(1+(R29/9)),IF(AND(E29='2. AWARDS'!G22,O29&gt;N29,O29&gt;Q29,VLOOKUP(F29,'2. AWARDS'!$C$9:$O$35,10,FALSE)=0),X29*(1+P29)*(1+(R29/9)),IF(AND(E29='2. AWARDS'!H22,O29&gt;N29,O29&gt;Q29,VLOOKUP(F29,'2. AWARDS'!$C$9:$O$35,11,FALSE)&lt;&gt;0),VLOOKUP(F29,'2. AWARDS'!$C$9:$O$35,11,FALSE)*(1+P29)*(1+(R29/9)),IF(AND(E29='2. AWARDS'!H22,O29&gt;N29,O29&gt;Q29,VLOOKUP(F29,'2. AWARDS'!$C$9:$O$35,11,FALSE)=0),X29*(1+P29)*(1+(R29/9)),IF(AND(E29='2. AWARDS'!I22,O29&gt;N29,O29&gt;Q29,VLOOKUP(F29,'2. AWARDS'!$C$9:$O$35,12,FALSE)&lt;&gt;0),VLOOKUP(F29,'2. AWARDS'!$C$9:$O$35,12,FALSE)*(1+P29)*(1+(R29/9)),IF(AND(E29='2. AWARDS'!I22,O29&gt;N29,O29&gt;Q29,VLOOKUP(F29,'2. AWARDS'!$C$9:$O$35,12,FALSE)=0),X29*(1+P29)*(1+(R29/9)),IF(AND(E29='2. AWARDS'!J22,O29&gt;N29,O29&gt;Q29,VLOOKUP(F29,'2. AWARDS'!$C$9:$O$35,13,FALSE)&lt;&gt;0),VLOOKUP(F29,'2. AWARDS'!$C$9:$O$35,13,FALSE)*(1+P29)*(1+(R29/9)),IF(AND(E29='2. AWARDS'!J22,O29&gt;N29,O29&gt;Q29,VLOOKUP(F29,'2. AWARDS'!$C$9:$O$35,13,FALSE)=0),X29*(1+P29)*(1+(R29/9)),IF(AND(O29&lt;N29,O29&gt;Q29),X29*(1+P29)*(1+(R29/9)),IF(AND(E29='2. AWARDS'!F22,O29=MAX(N29,Q29),VLOOKUP(F29,'2. AWARDS'!$C$9:$O$35,9,FALSE)&lt;&gt;0),VLOOKUP(F29,'2. AWARDS'!$C$9:$O$35,9,FALSE)*(1+P29)*(1+(R29/9)),IF(AND(E29='2. AWARDS'!F22,O29=MAX(N29,Q29),VLOOKUP(F29,'2. AWARDS'!$C$9:$O$35,9,FALSE)=0),X29*(1+P29)*(1+(R29/9)),IF(AND(E29='2. AWARDS'!G22,O29=MAX(N29,Q29),VLOOKUP(F29,'2. AWARDS'!$C$9:$O$35,10,FALSE)&lt;&gt;0),VLOOKUP(F29,'2. AWARDS'!$C$9:$O$35,10,FALSE)*(1+P29)*(1+(R29/9)),IF(AND(E29='2. AWARDS'!G22,O29=MAX(N29,Q29),VLOOKUP(F29,'2. AWARDS'!$C$9:$O$35,10,FALSE)=0),X29*(1+P29)*(1+(R29/9)),IF(AND(E29='2. AWARDS'!H22,O29=MAX(N29,Q29),VLOOKUP(F29,'2. AWARDS'!$C$9:$O$35,11,FALSE)&lt;&gt;0),VLOOKUP(F29,'2. AWARDS'!$C$9:$O$35,11,FALSE)*(1+P29)*(1+(R29/9)),IF(AND(E29='2. AWARDS'!H22,O29=MAX(N29,Q29),VLOOKUP(F29,'2. AWARDS'!$C$9:$O$35,11,FALSE)=0),X29*(1+P29)*(1+(R29/9)),IF(AND(E29='2. AWARDS'!I22,O29=MAX(N29,Q29),VLOOKUP(F29,'2. AWARDS'!$C$9:$O$35,12,FALSE)&lt;&gt;0),VLOOKUP(F29,'2. AWARDS'!$C$9:$O$35,12,FALSE)*(1+P29)*(1+(R29/9)),IF(AND(E29='2. AWARDS'!I22,O29=MAX(N29,Q29),VLOOKUP(F29,'2. AWARDS'!$C$9:$O$35,12,FALSE)=0),X29*(1+P29)*(1+(R29/9)),IF(AND(E29='2. AWARDS'!J22,O29=MAX(N29,Q29),VLOOKUP(F29,'2. AWARDS'!$C$9:$O$35,13,FALSE)&lt;&gt;0),VLOOKUP(F29,'2. AWARDS'!$C$9:$O$35,13,FALSE)*(1+P29)*(1+(R29/9)),IF(AND(E29='2. AWARDS'!J22,O29=MAX(N29,Q29),VLOOKUP(F29,'2. AWARDS'!$C$9:$O$35,13,FALSE)=0),X29*(1+P29)*(1+(R29/9)),IF(AND(O29&lt;N29,O29&lt;Q29),X29*(1+P29),IF(AND(O29=N29,N29&lt;Q29,E29='2. AWARDS'!F22),VLOOKUP(F29,'2. AWARDS'!$C$9:$O$35,9,FALSE)*(1+P29),IF(AND(O29=N29,N29&lt;Q29,E29='2. AWARDS'!G22),VLOOKUP(F29,'2. AWARDS'!$C$9:$O$35,10,FALSE)*(1+P29),IF(AND(O29=N29,N29&lt;Q29,E29='2. AWARDS'!H22),VLOOKUP(F29,'2. AWARDS'!$C$9:$O$35,11,FALSE)*(1+P29),IF(AND(O29=N29,N29&lt;Q29,E29='2. AWARDS'!I22),VLOOKUP(F29,'2. AWARDS'!$C$9:$O$35,12,FALSE)*(1+P29),IF(AND(O29=N29,N29&lt;Q29,E29='2. AWARDS'!J22),VLOOKUP(F29,'2. AWARDS'!$C$9:$O$35,13,FALSE)*(1+P29),IF(AND(O29=Q29,N29&gt;Q29),X29*(1+P29)*(1+(R29/9)),IF(AND(E29='2. AWARDS'!F22,O29&gt;N29,O29&lt;Q29,VLOOKUP(F29,'2. AWARDS'!$C$9:$O$35,9,FALSE)&lt;&gt;0),VLOOKUP(F29,'2. AWARDS'!$C$9:$O$35,9,FALSE)*(1+P29),IF(AND(E29='2. AWARDS'!G22,O29&gt;N29,O29&lt;Q29,VLOOKUP(F29,'2. AWARDS'!$C$9:$O$35,10,FALSE)&lt;&gt;0),VLOOKUP(F29,'2. AWARDS'!$C$9:$O$35,10,FALSE)*(1+P29),IF(AND(E29='2. AWARDS'!H22,O29&gt;N29,O29&lt;Q29,VLOOKUP(F29,'2. AWARDS'!$C$9:$O$35,11,FALSE)&lt;&gt;0),VLOOKUP(F29,'2. AWARDS'!$C$9:$O$35,11,FALSE)*(1+P29),IF(AND(E29='2. AWARDS'!I22,O29&gt;N29,O29&lt;Q29,VLOOKUP(F29,'2. AWARDS'!$C$9:$O$35,12,FALSE)&lt;&gt;0),VLOOKUP(F29,'2. AWARDS'!$C$9:$O$35,12,FALSE)*(1+P29),IF(AND(E29='2. AWARDS'!J22,O29&gt;N29,O29&lt;Q29,VLOOKUP(F29,'2. AWARDS'!$C$9:$O$35,13,FALSE)&lt;&gt;0),VLOOKUP(F29,'2. AWARDS'!$C$9:$O$35,13,FALSE)*(1+P29),X29*(1+P29))))))))))))))))))))))))))))))))))</f>
        <v>#N/A</v>
      </c>
      <c r="AA29" s="661" t="e">
        <f t="shared" si="35"/>
        <v>#N/A</v>
      </c>
      <c r="AB29" s="683"/>
      <c r="AC29" s="774"/>
      <c r="AD29" s="774"/>
      <c r="AE29" s="777"/>
      <c r="AF29" s="781">
        <f t="shared" si="20"/>
        <v>0</v>
      </c>
      <c r="AG29" s="781" t="e">
        <f>HLOOKUP(E29,'2. AWARDS'!$F$7:$J$40,32,FALSE)/5*HLOOKUP(E29,'2. AWARDS'!$F$7:$J$40,31,FALSE)*MAX(W29:AA29)*M29*HLOOKUP(E29,'2. AWARDS'!$F$7:$J$40,34,FALSE)*(L29/(38*2))</f>
        <v>#N/A</v>
      </c>
      <c r="AH29" s="783" t="e">
        <f>((HLOOKUP(E29,'2. AWARDS'!$F$7:$J$42,36,FALSE)/HLOOKUP(E29,'2. AWARDS'!$F$7:$J$42,35,FALSE)*HLOOKUP(E29,'2. AWARDS'!$F$7:$J$45,39,FALSE))/(HLOOKUP(E29,'2. AWARDS'!$F$7:$J$45,31,FALSE)*2)*L29*M29*HLOOKUP(E29,'2. AWARDS'!$F$7:$J$45,31,FALSE)*MAX(W29:AA29))</f>
        <v>#N/A</v>
      </c>
      <c r="AI29" s="474"/>
      <c r="AJ29" s="804"/>
      <c r="AK29" s="801"/>
      <c r="AL29" s="801"/>
      <c r="AM29" s="802"/>
      <c r="AN29" s="1012"/>
      <c r="AO29" s="836">
        <f>IF(AJ29="YES",HLOOKUP(E29,'2. AWARDS'!$F$7:$J$38,32,FALSE)/5*HLOOKUP(E29,'2. AWARDS'!$F$7:$J$37,31,FALSE)*L29/(HLOOKUP(E29,'2. AWARDS'!$F$7:$J$37,31,FALSE)*2)*M29*MAX(W29:AA29)*(1+HLOOKUP(E29,'2. AWARDS'!$F$7:$J$43,37,FALSE))*(1-AM29),0)</f>
        <v>0</v>
      </c>
      <c r="AP29" s="836">
        <f>IF(AK29="YES",HLOOKUP(E29,'2. AWARDS'!$F$7:$J$39,33,FALSE)/5*HLOOKUP(E29,'2. AWARDS'!$F$7:$J$37,31,FALSE)*L29/(HLOOKUP(E29,'2. AWARDS'!$F$7:$J$37,31,FALSE)*2)*M29*MAX(W29:AA29)*(1+HLOOKUP(E29,'2. AWARDS'!$F$7:$J$43,37,FALSE))*(1-AM29),0)</f>
        <v>0</v>
      </c>
      <c r="AQ29" s="838">
        <f>IF(AL29="YES",HLOOKUP(E29,'2. AWARDS'!$F$7:$J$47,40,FALSE)/5*HLOOKUP(E29,'2. AWARDS'!$F$7:$J$37,31,FALSE)*L29/(HLOOKUP(E29,'2. AWARDS'!$F$7:$J$37,31,FALSE)*2)*M29*MAX(W29:AA29)*(1+HLOOKUP(E29,'2. AWARDS'!$F$7:$J$43,37,FALSE))*(1-AM29),0)</f>
        <v>0</v>
      </c>
      <c r="AR29" s="839">
        <f>(IF(AJ29="YES",HLOOKUP(E29,'2. AWARDS'!$F$7:$J$39,32,FALSE),0)+IF(AK29="YES",HLOOKUP(E29,'2. AWARDS'!$F$7:$J$39,33,FALSE),0)+IF(AL29="YES",HLOOKUP(E29,'2. AWARDS'!$F$7:$J$47,40,FALSE),0))*L29/76*7.6*AM29*AN29*M29</f>
        <v>0</v>
      </c>
      <c r="AS29" s="683"/>
      <c r="AT29" s="802">
        <f>'1. KEY DATA'!J$29</f>
        <v>0</v>
      </c>
      <c r="AU29" s="822">
        <f>'1. KEY DATA'!J$30</f>
        <v>0.09</v>
      </c>
      <c r="AV29" s="502"/>
      <c r="AW29" s="478">
        <f t="shared" si="21"/>
        <v>0</v>
      </c>
      <c r="AX29" s="502"/>
      <c r="AY29" s="998"/>
      <c r="AZ29" s="999"/>
      <c r="BA29" s="999"/>
      <c r="BB29" s="999"/>
      <c r="BC29" s="999"/>
      <c r="BD29" s="999"/>
      <c r="BE29" s="999"/>
      <c r="BF29" s="999"/>
      <c r="BG29" s="999"/>
      <c r="BH29" s="999"/>
      <c r="BI29" s="1392"/>
      <c r="BJ29" s="1393"/>
      <c r="BK29" s="1393"/>
      <c r="BL29" s="1394"/>
      <c r="BM29" s="301">
        <f t="shared" si="22"/>
        <v>1</v>
      </c>
      <c r="BO29" s="244">
        <f t="shared" si="23"/>
        <v>0</v>
      </c>
      <c r="BP29" s="245">
        <f t="shared" si="24"/>
        <v>0</v>
      </c>
      <c r="BQ29" s="245">
        <f t="shared" si="25"/>
        <v>0</v>
      </c>
      <c r="BR29" s="245">
        <f t="shared" si="26"/>
        <v>0</v>
      </c>
      <c r="BS29" s="245">
        <f t="shared" si="27"/>
        <v>0</v>
      </c>
      <c r="BT29" s="245">
        <f t="shared" si="28"/>
        <v>0</v>
      </c>
      <c r="BU29" s="245">
        <f t="shared" si="29"/>
        <v>0</v>
      </c>
      <c r="BV29" s="245">
        <f t="shared" si="30"/>
        <v>0</v>
      </c>
      <c r="BW29" s="245">
        <f t="shared" si="31"/>
        <v>0</v>
      </c>
      <c r="BX29" s="246">
        <f t="shared" si="32"/>
        <v>0</v>
      </c>
      <c r="BY29" s="1380"/>
      <c r="BZ29" s="1381"/>
      <c r="CA29" s="1381"/>
      <c r="CB29" s="1382"/>
    </row>
    <row r="30" spans="1:80" ht="15.75" thickBot="1">
      <c r="A30">
        <f t="shared" si="0"/>
        <v>17</v>
      </c>
      <c r="B30" s="217"/>
      <c r="C30" s="214"/>
      <c r="D30" s="699">
        <f t="shared" si="33"/>
        <v>0</v>
      </c>
      <c r="E30" s="626"/>
      <c r="F30" s="900"/>
      <c r="G30" s="702"/>
      <c r="H30" s="693"/>
      <c r="I30" s="694"/>
      <c r="J30" s="1113"/>
      <c r="K30" s="1114"/>
      <c r="L30" s="1109"/>
      <c r="M30" s="689"/>
      <c r="N30" s="628"/>
      <c r="O30" s="629"/>
      <c r="P30" s="638">
        <f t="shared" si="36"/>
        <v>0.03</v>
      </c>
      <c r="Q30" s="629"/>
      <c r="R30" s="673" t="str">
        <f t="shared" si="17"/>
        <v>-</v>
      </c>
      <c r="S30" s="649"/>
      <c r="T30" s="647"/>
      <c r="U30" s="827"/>
      <c r="V30" s="670"/>
      <c r="W30" s="798">
        <f t="shared" si="18"/>
        <v>0</v>
      </c>
      <c r="X30" s="656">
        <f>IF(OR(E30=0,F30=0),0,IF(E30='2. AWARDS'!F$7,VLOOKUP(F30,'2. AWARDS'!$C$9:$F$35,4,FALSE),IF(E30='2. AWARDS'!G$7,VLOOKUP(F30,'2. AWARDS'!$C$9:$G$35,5,FALSE),IF(E30='2. AWARDS'!H$7,VLOOKUP(F30,'2. AWARDS'!$C$9:$H$35,6,FALSE),IF(E30='2. AWARDS'!I$7,VLOOKUP(F30,'2. AWARDS'!$C$9:$I$35,7,FALSE),VLOOKUP(F30,'2. AWARDS'!$C$9:$J$35,8,FALSE))))))</f>
        <v>0</v>
      </c>
      <c r="Y30" s="980">
        <f>IF(OR(E30=0,F30=0),0,IF(AND(N30=0,E30='2. AWARDS'!F$7,VLOOKUP(F30,'2. AWARDS'!$C$9:$O$35,9,FALSE)&lt;&gt;0),"date missing",IF(AND(N30=0,E30='2. AWARDS'!G$7,VLOOKUP(F30,'2. AWARDS'!$C$9:$O$35,10,FALSE)&lt;&gt;0),"date missing",IF(AND(N30=0,E30='2. AWARDS'!H$7,VLOOKUP(F30,'2. AWARDS'!$C$9:$O$35,11,FALSE)&lt;&gt;0),"date missing",IF(AND(N30=0,E30='2. AWARDS'!I$7,VLOOKUP(F30,'2. AWARDS'!$C$9:$O$35,12,FALSE)&lt;&gt;0),"date missing",IF(AND(N30=0,E30='2. AWARDS'!J$7,VLOOKUP(F30,'2. AWARDS'!$C$9:$O$35,13,FALSE)&lt;&gt;0),"date missing",IF(N30=0,0,IF(OR(N30=MIN(O30,Q30),AND(N30&lt;O30,N30&lt;Q30,N30&gt;0)),IF(E30='2. AWARDS'!F$7,VLOOKUP(F30,'2. AWARDS'!$C$9:$O$35,9,FALSE),IF(E30='2. AWARDS'!G$7,VLOOKUP(F30,'2. AWARDS'!$C$9:$O$35,10,FALSE),IF(E30='2. AWARDS'!H$7,VLOOKUP(F30,'2. AWARDS'!$C$9:$O$35,11,FALSE),IF(E30='2. AWARDS'!I$7,VLOOKUP(F30,'2. AWARDS'!$C$9:$O$35,12,FALSE),IF(E30='2. AWARDS'!J$7,VLOOKUP(F30,'2. AWARDS'!$C$9:$O$35,13,FALSE)))))),IF(AND(N30&gt;O30,N30&lt;Q30),IF(E30='2. AWARDS'!F$7,(1+P30)*VLOOKUP(F30,'2. AWARDS'!$C$9:$O$35,9,FALSE),IF(E30='2. AWARDS'!G$7,(1+P30)*VLOOKUP(F30,'2. AWARDS'!$C$9:$O$35,10,FALSE),IF(E30='2. AWARDS'!H$7,(1+P30)*VLOOKUP(F30,'2. AWARDS'!$C$9:$O$35,11,FALSE),IF(E30='2. AWARDS'!I$7,(1+P30)*VLOOKUP(F30,'2. AWARDS'!$C$9:$O$35,12,FALSE),IF(E30='2. AWARDS'!J$7,(1+P30)*VLOOKUP(F30,'2. AWARDS'!$C$9:$O$35,13,FALSE)))))),IF(AND(N30&lt;O30,N30&gt;Q30),IF(E30='2. AWARDS'!F$7,(1+(R30/9))*VLOOKUP(F30,'2. AWARDS'!$C$9:$O$35,9,FALSE),IF(E30='2. AWARDS'!G$7,(1+(R30/9))*VLOOKUP(F30,'2. AWARDS'!$C$9:$O$35,10,FALSE),IF(E30='2. AWARDS'!H$7,(1+(R30/9))*VLOOKUP(F30,'2. AWARDS'!$C$9:$O$35,11,FALSE),IF(E30='2. AWARDS'!I$7,(1+(R30/9))*VLOOKUP(F30,'2. AWARDS'!$C$9:$O$35,12,FALSE),IF(E30='2. AWARDS'!J$7,(1+(R30/9))*VLOOKUP(F30,'2. AWARDS'!$C$9:$O$35,13,FALSE)))))),IF(OR(N30=MAX(O30,Q30),AND(N30&gt;O30,N30&gt;Q30)),IF(E30='2. AWARDS'!F$7,((1+(R30/9))*(1+P30))*VLOOKUP(F30,'2. AWARDS'!$C$9:$O$35,9,FALSE),IF(E30='2. AWARDS'!G$7,((1+(R30/9))*(1+P30))*VLOOKUP(F30,'2. AWARDS'!$C$9:$O$35,10,FALSE),IF(E30='2. AWARDS'!H$7,((1+(R30/9))*(1+P30))*VLOOKUP(F30,'2. AWARDS'!$C$9:$O$35,11,FALSE),IF(E30='2. AWARDS'!I$7,((1+(R30/9))*(1+P30))*VLOOKUP(F30,'2. AWARDS'!$C$9:$O$35,12,FALSE),IF(E30='2. AWARDS'!J$7,((1+(R30/9))*(1+P30))*VLOOKUP(F30,'2. AWARDS'!$C$9:$O$35,13,FALSE)))))),"?")))))))))))</f>
        <v>0</v>
      </c>
      <c r="Z30" s="1093" t="e">
        <f>IF(AND(E30='2. AWARDS'!F23,O30&gt;N30,O30&gt;Q30,VLOOKUP(F30,'2. AWARDS'!$C$9:$O$35,9,FALSE)&lt;&gt;0),VLOOKUP(F30,'2. AWARDS'!$C$9:$O$35,9,FALSE)*(1+P30)*(1+(R30/9)),IF(AND(E30='2. AWARDS'!F23,O30&gt;N30,O30&gt;Q30,VLOOKUP(F30,'2. AWARDS'!$C$9:$O$35,9,FALSE)=0),X30*(1+P30)*(1+(R30/9)),IF(AND(E30='2. AWARDS'!G23,O30&gt;N30,O30&gt;Q30,VLOOKUP(F30,'2. AWARDS'!$C$9:$O$35,10,FALSE)&lt;&gt;0),VLOOKUP(F30,'2. AWARDS'!$C$9:$O$35,10,FALSE)*(1+P30)*(1+(R30/9)),IF(AND(E30='2. AWARDS'!G23,O30&gt;N30,O30&gt;Q30,VLOOKUP(F30,'2. AWARDS'!$C$9:$O$35,10,FALSE)=0),X30*(1+P30)*(1+(R30/9)),IF(AND(E30='2. AWARDS'!H23,O30&gt;N30,O30&gt;Q30,VLOOKUP(F30,'2. AWARDS'!$C$9:$O$35,11,FALSE)&lt;&gt;0),VLOOKUP(F30,'2. AWARDS'!$C$9:$O$35,11,FALSE)*(1+P30)*(1+(R30/9)),IF(AND(E30='2. AWARDS'!H23,O30&gt;N30,O30&gt;Q30,VLOOKUP(F30,'2. AWARDS'!$C$9:$O$35,11,FALSE)=0),X30*(1+P30)*(1+(R30/9)),IF(AND(E30='2. AWARDS'!I23,O30&gt;N30,O30&gt;Q30,VLOOKUP(F30,'2. AWARDS'!$C$9:$O$35,12,FALSE)&lt;&gt;0),VLOOKUP(F30,'2. AWARDS'!$C$9:$O$35,12,FALSE)*(1+P30)*(1+(R30/9)),IF(AND(E30='2. AWARDS'!I23,O30&gt;N30,O30&gt;Q30,VLOOKUP(F30,'2. AWARDS'!$C$9:$O$35,12,FALSE)=0),X30*(1+P30)*(1+(R30/9)),IF(AND(E30='2. AWARDS'!J23,O30&gt;N30,O30&gt;Q30,VLOOKUP(F30,'2. AWARDS'!$C$9:$O$35,13,FALSE)&lt;&gt;0),VLOOKUP(F30,'2. AWARDS'!$C$9:$O$35,13,FALSE)*(1+P30)*(1+(R30/9)),IF(AND(E30='2. AWARDS'!J23,O30&gt;N30,O30&gt;Q30,VLOOKUP(F30,'2. AWARDS'!$C$9:$O$35,13,FALSE)=0),X30*(1+P30)*(1+(R30/9)),IF(AND(O30&lt;N30,O30&gt;Q30),X30*(1+P30)*(1+(R30/9)),IF(AND(E30='2. AWARDS'!F23,O30=MAX(N30,Q30),VLOOKUP(F30,'2. AWARDS'!$C$9:$O$35,9,FALSE)&lt;&gt;0),VLOOKUP(F30,'2. AWARDS'!$C$9:$O$35,9,FALSE)*(1+P30)*(1+(R30/9)),IF(AND(E30='2. AWARDS'!F23,O30=MAX(N30,Q30),VLOOKUP(F30,'2. AWARDS'!$C$9:$O$35,9,FALSE)=0),X30*(1+P30)*(1+(R30/9)),IF(AND(E30='2. AWARDS'!G23,O30=MAX(N30,Q30),VLOOKUP(F30,'2. AWARDS'!$C$9:$O$35,10,FALSE)&lt;&gt;0),VLOOKUP(F30,'2. AWARDS'!$C$9:$O$35,10,FALSE)*(1+P30)*(1+(R30/9)),IF(AND(E30='2. AWARDS'!G23,O30=MAX(N30,Q30),VLOOKUP(F30,'2. AWARDS'!$C$9:$O$35,10,FALSE)=0),X30*(1+P30)*(1+(R30/9)),IF(AND(E30='2. AWARDS'!H23,O30=MAX(N30,Q30),VLOOKUP(F30,'2. AWARDS'!$C$9:$O$35,11,FALSE)&lt;&gt;0),VLOOKUP(F30,'2. AWARDS'!$C$9:$O$35,11,FALSE)*(1+P30)*(1+(R30/9)),IF(AND(E30='2. AWARDS'!H23,O30=MAX(N30,Q30),VLOOKUP(F30,'2. AWARDS'!$C$9:$O$35,11,FALSE)=0),X30*(1+P30)*(1+(R30/9)),IF(AND(E30='2. AWARDS'!I23,O30=MAX(N30,Q30),VLOOKUP(F30,'2. AWARDS'!$C$9:$O$35,12,FALSE)&lt;&gt;0),VLOOKUP(F30,'2. AWARDS'!$C$9:$O$35,12,FALSE)*(1+P30)*(1+(R30/9)),IF(AND(E30='2. AWARDS'!I23,O30=MAX(N30,Q30),VLOOKUP(F30,'2. AWARDS'!$C$9:$O$35,12,FALSE)=0),X30*(1+P30)*(1+(R30/9)),IF(AND(E30='2. AWARDS'!J23,O30=MAX(N30,Q30),VLOOKUP(F30,'2. AWARDS'!$C$9:$O$35,13,FALSE)&lt;&gt;0),VLOOKUP(F30,'2. AWARDS'!$C$9:$O$35,13,FALSE)*(1+P30)*(1+(R30/9)),IF(AND(E30='2. AWARDS'!J23,O30=MAX(N30,Q30),VLOOKUP(F30,'2. AWARDS'!$C$9:$O$35,13,FALSE)=0),X30*(1+P30)*(1+(R30/9)),IF(AND(O30&lt;N30,O30&lt;Q30),X30*(1+P30),IF(AND(O30=N30,N30&lt;Q30,E30='2. AWARDS'!F23),VLOOKUP(F30,'2. AWARDS'!$C$9:$O$35,9,FALSE)*(1+P30),IF(AND(O30=N30,N30&lt;Q30,E30='2. AWARDS'!G23),VLOOKUP(F30,'2. AWARDS'!$C$9:$O$35,10,FALSE)*(1+P30),IF(AND(O30=N30,N30&lt;Q30,E30='2. AWARDS'!H23),VLOOKUP(F30,'2. AWARDS'!$C$9:$O$35,11,FALSE)*(1+P30),IF(AND(O30=N30,N30&lt;Q30,E30='2. AWARDS'!I23),VLOOKUP(F30,'2. AWARDS'!$C$9:$O$35,12,FALSE)*(1+P30),IF(AND(O30=N30,N30&lt;Q30,E30='2. AWARDS'!J23),VLOOKUP(F30,'2. AWARDS'!$C$9:$O$35,13,FALSE)*(1+P30),IF(AND(O30=Q30,N30&gt;Q30),X30*(1+P30)*(1+(R30/9)),IF(AND(E30='2. AWARDS'!F23,O30&gt;N30,O30&lt;Q30,VLOOKUP(F30,'2. AWARDS'!$C$9:$O$35,9,FALSE)&lt;&gt;0),VLOOKUP(F30,'2. AWARDS'!$C$9:$O$35,9,FALSE)*(1+P30),IF(AND(E30='2. AWARDS'!G23,O30&gt;N30,O30&lt;Q30,VLOOKUP(F30,'2. AWARDS'!$C$9:$O$35,10,FALSE)&lt;&gt;0),VLOOKUP(F30,'2. AWARDS'!$C$9:$O$35,10,FALSE)*(1+P30),IF(AND(E30='2. AWARDS'!H23,O30&gt;N30,O30&lt;Q30,VLOOKUP(F30,'2. AWARDS'!$C$9:$O$35,11,FALSE)&lt;&gt;0),VLOOKUP(F30,'2. AWARDS'!$C$9:$O$35,11,FALSE)*(1+P30),IF(AND(E30='2. AWARDS'!I23,O30&gt;N30,O30&lt;Q30,VLOOKUP(F30,'2. AWARDS'!$C$9:$O$35,12,FALSE)&lt;&gt;0),VLOOKUP(F30,'2. AWARDS'!$C$9:$O$35,12,FALSE)*(1+P30),IF(AND(E30='2. AWARDS'!J23,O30&gt;N30,O30&lt;Q30,VLOOKUP(F30,'2. AWARDS'!$C$9:$O$35,13,FALSE)&lt;&gt;0),VLOOKUP(F30,'2. AWARDS'!$C$9:$O$35,13,FALSE)*(1+P30),X30*(1+P30))))))))))))))))))))))))))))))))))</f>
        <v>#N/A</v>
      </c>
      <c r="AA30" s="661" t="e">
        <f t="shared" si="35"/>
        <v>#N/A</v>
      </c>
      <c r="AB30" s="683"/>
      <c r="AC30" s="774"/>
      <c r="AD30" s="774"/>
      <c r="AE30" s="777"/>
      <c r="AF30" s="781">
        <f t="shared" si="20"/>
        <v>0</v>
      </c>
      <c r="AG30" s="781" t="e">
        <f>HLOOKUP(E30,'2. AWARDS'!$F$7:$J$40,32,FALSE)/5*HLOOKUP(E30,'2. AWARDS'!$F$7:$J$40,31,FALSE)*MAX(W30:AA30)*M30*HLOOKUP(E30,'2. AWARDS'!$F$7:$J$40,34,FALSE)*(L30/(38*2))</f>
        <v>#N/A</v>
      </c>
      <c r="AH30" s="783" t="e">
        <f>((HLOOKUP(E30,'2. AWARDS'!$F$7:$J$42,36,FALSE)/HLOOKUP(E30,'2. AWARDS'!$F$7:$J$42,35,FALSE)*HLOOKUP(E30,'2. AWARDS'!$F$7:$J$45,39,FALSE))/(HLOOKUP(E30,'2. AWARDS'!$F$7:$J$45,31,FALSE)*2)*L30*M30*HLOOKUP(E30,'2. AWARDS'!$F$7:$J$45,31,FALSE)*MAX(W30:AA30))</f>
        <v>#N/A</v>
      </c>
      <c r="AI30" s="474"/>
      <c r="AJ30" s="804"/>
      <c r="AK30" s="801"/>
      <c r="AL30" s="801"/>
      <c r="AM30" s="802"/>
      <c r="AN30" s="1012"/>
      <c r="AO30" s="836">
        <f>IF(AJ30="YES",HLOOKUP(E30,'2. AWARDS'!$F$7:$J$38,32,FALSE)/5*HLOOKUP(E30,'2. AWARDS'!$F$7:$J$37,31,FALSE)*L30/(HLOOKUP(E30,'2. AWARDS'!$F$7:$J$37,31,FALSE)*2)*M30*MAX(W30:AA30)*(1+HLOOKUP(E30,'2. AWARDS'!$F$7:$J$43,37,FALSE))*(1-AM30),0)</f>
        <v>0</v>
      </c>
      <c r="AP30" s="836">
        <f>IF(AK30="YES",HLOOKUP(E30,'2. AWARDS'!$F$7:$J$39,33,FALSE)/5*HLOOKUP(E30,'2. AWARDS'!$F$7:$J$37,31,FALSE)*L30/(HLOOKUP(E30,'2. AWARDS'!$F$7:$J$37,31,FALSE)*2)*M30*MAX(W30:AA30)*(1+HLOOKUP(E30,'2. AWARDS'!$F$7:$J$43,37,FALSE))*(1-AM30),0)</f>
        <v>0</v>
      </c>
      <c r="AQ30" s="838">
        <f>IF(AL30="YES",HLOOKUP(E30,'2. AWARDS'!$F$7:$J$47,40,FALSE)/5*HLOOKUP(E30,'2. AWARDS'!$F$7:$J$37,31,FALSE)*L30/(HLOOKUP(E30,'2. AWARDS'!$F$7:$J$37,31,FALSE)*2)*M30*MAX(W30:AA30)*(1+HLOOKUP(E30,'2. AWARDS'!$F$7:$J$43,37,FALSE))*(1-AM30),0)</f>
        <v>0</v>
      </c>
      <c r="AR30" s="839">
        <f>(IF(AJ30="YES",HLOOKUP(E30,'2. AWARDS'!$F$7:$J$39,32,FALSE),0)+IF(AK30="YES",HLOOKUP(E30,'2. AWARDS'!$F$7:$J$39,33,FALSE),0)+IF(AL30="YES",HLOOKUP(E30,'2. AWARDS'!$F$7:$J$47,40,FALSE),0))*L30/76*7.6*AM30*AN30*M30</f>
        <v>0</v>
      </c>
      <c r="AS30" s="683"/>
      <c r="AT30" s="802">
        <f>'1. KEY DATA'!J$29</f>
        <v>0</v>
      </c>
      <c r="AU30" s="822">
        <f>'1. KEY DATA'!J$30</f>
        <v>0.09</v>
      </c>
      <c r="AV30" s="502"/>
      <c r="AW30" s="478">
        <f t="shared" si="21"/>
        <v>0</v>
      </c>
      <c r="AX30" s="502"/>
      <c r="AY30" s="996"/>
      <c r="AZ30" s="997"/>
      <c r="BA30" s="997"/>
      <c r="BB30" s="997"/>
      <c r="BC30" s="997"/>
      <c r="BD30" s="997"/>
      <c r="BE30" s="997"/>
      <c r="BF30" s="997"/>
      <c r="BG30" s="997"/>
      <c r="BH30" s="997"/>
      <c r="BI30" s="1392"/>
      <c r="BJ30" s="1393"/>
      <c r="BK30" s="1393"/>
      <c r="BL30" s="1394"/>
      <c r="BM30" s="301">
        <f t="shared" si="22"/>
        <v>1</v>
      </c>
      <c r="BO30" s="244">
        <f t="shared" si="23"/>
        <v>0</v>
      </c>
      <c r="BP30" s="245">
        <f t="shared" si="24"/>
        <v>0</v>
      </c>
      <c r="BQ30" s="245">
        <f t="shared" si="25"/>
        <v>0</v>
      </c>
      <c r="BR30" s="245">
        <f t="shared" si="26"/>
        <v>0</v>
      </c>
      <c r="BS30" s="245">
        <f t="shared" si="27"/>
        <v>0</v>
      </c>
      <c r="BT30" s="245">
        <f t="shared" si="28"/>
        <v>0</v>
      </c>
      <c r="BU30" s="245">
        <f t="shared" si="29"/>
        <v>0</v>
      </c>
      <c r="BV30" s="245">
        <f t="shared" si="30"/>
        <v>0</v>
      </c>
      <c r="BW30" s="245">
        <f t="shared" si="31"/>
        <v>0</v>
      </c>
      <c r="BX30" s="246">
        <f t="shared" si="32"/>
        <v>0</v>
      </c>
      <c r="BY30" s="1380"/>
      <c r="BZ30" s="1381"/>
      <c r="CA30" s="1381"/>
      <c r="CB30" s="1382"/>
    </row>
    <row r="31" spans="1:80" ht="15.75" thickBot="1">
      <c r="A31">
        <f t="shared" si="0"/>
        <v>18</v>
      </c>
      <c r="B31" s="217"/>
      <c r="C31" s="214"/>
      <c r="D31" s="699">
        <f t="shared" si="33"/>
        <v>0</v>
      </c>
      <c r="E31" s="626"/>
      <c r="F31" s="900"/>
      <c r="G31" s="702"/>
      <c r="H31" s="693"/>
      <c r="I31" s="694"/>
      <c r="J31" s="1113"/>
      <c r="K31" s="1114"/>
      <c r="L31" s="1109"/>
      <c r="M31" s="689"/>
      <c r="N31" s="628"/>
      <c r="O31" s="629"/>
      <c r="P31" s="638">
        <f t="shared" si="36"/>
        <v>0.03</v>
      </c>
      <c r="Q31" s="629"/>
      <c r="R31" s="673" t="str">
        <f t="shared" si="17"/>
        <v>-</v>
      </c>
      <c r="S31" s="649"/>
      <c r="T31" s="647"/>
      <c r="U31" s="827"/>
      <c r="V31" s="670"/>
      <c r="W31" s="798">
        <f t="shared" si="18"/>
        <v>0</v>
      </c>
      <c r="X31" s="656">
        <f>IF(OR(E31=0,F31=0),0,IF(E31='2. AWARDS'!F$7,VLOOKUP(F31,'2. AWARDS'!$C$9:$F$35,4,FALSE),IF(E31='2. AWARDS'!G$7,VLOOKUP(F31,'2. AWARDS'!$C$9:$G$35,5,FALSE),IF(E31='2. AWARDS'!H$7,VLOOKUP(F31,'2. AWARDS'!$C$9:$H$35,6,FALSE),IF(E31='2. AWARDS'!I$7,VLOOKUP(F31,'2. AWARDS'!$C$9:$I$35,7,FALSE),VLOOKUP(F31,'2. AWARDS'!$C$9:$J$35,8,FALSE))))))</f>
        <v>0</v>
      </c>
      <c r="Y31" s="980">
        <f>IF(OR(E31=0,F31=0),0,IF(AND(N31=0,E31='2. AWARDS'!F$7,VLOOKUP(F31,'2. AWARDS'!$C$9:$O$35,9,FALSE)&lt;&gt;0),"date missing",IF(AND(N31=0,E31='2. AWARDS'!G$7,VLOOKUP(F31,'2. AWARDS'!$C$9:$O$35,10,FALSE)&lt;&gt;0),"date missing",IF(AND(N31=0,E31='2. AWARDS'!H$7,VLOOKUP(F31,'2. AWARDS'!$C$9:$O$35,11,FALSE)&lt;&gt;0),"date missing",IF(AND(N31=0,E31='2. AWARDS'!I$7,VLOOKUP(F31,'2. AWARDS'!$C$9:$O$35,12,FALSE)&lt;&gt;0),"date missing",IF(AND(N31=0,E31='2. AWARDS'!J$7,VLOOKUP(F31,'2. AWARDS'!$C$9:$O$35,13,FALSE)&lt;&gt;0),"date missing",IF(N31=0,0,IF(OR(N31=MIN(O31,Q31),AND(N31&lt;O31,N31&lt;Q31,N31&gt;0)),IF(E31='2. AWARDS'!F$7,VLOOKUP(F31,'2. AWARDS'!$C$9:$O$35,9,FALSE),IF(E31='2. AWARDS'!G$7,VLOOKUP(F31,'2. AWARDS'!$C$9:$O$35,10,FALSE),IF(E31='2. AWARDS'!H$7,VLOOKUP(F31,'2. AWARDS'!$C$9:$O$35,11,FALSE),IF(E31='2. AWARDS'!I$7,VLOOKUP(F31,'2. AWARDS'!$C$9:$O$35,12,FALSE),IF(E31='2. AWARDS'!J$7,VLOOKUP(F31,'2. AWARDS'!$C$9:$O$35,13,FALSE)))))),IF(AND(N31&gt;O31,N31&lt;Q31),IF(E31='2. AWARDS'!F$7,(1+P31)*VLOOKUP(F31,'2. AWARDS'!$C$9:$O$35,9,FALSE),IF(E31='2. AWARDS'!G$7,(1+P31)*VLOOKUP(F31,'2. AWARDS'!$C$9:$O$35,10,FALSE),IF(E31='2. AWARDS'!H$7,(1+P31)*VLOOKUP(F31,'2. AWARDS'!$C$9:$O$35,11,FALSE),IF(E31='2. AWARDS'!I$7,(1+P31)*VLOOKUP(F31,'2. AWARDS'!$C$9:$O$35,12,FALSE),IF(E31='2. AWARDS'!J$7,(1+P31)*VLOOKUP(F31,'2. AWARDS'!$C$9:$O$35,13,FALSE)))))),IF(AND(N31&lt;O31,N31&gt;Q31),IF(E31='2. AWARDS'!F$7,(1+(R31/9))*VLOOKUP(F31,'2. AWARDS'!$C$9:$O$35,9,FALSE),IF(E31='2. AWARDS'!G$7,(1+(R31/9))*VLOOKUP(F31,'2. AWARDS'!$C$9:$O$35,10,FALSE),IF(E31='2. AWARDS'!H$7,(1+(R31/9))*VLOOKUP(F31,'2. AWARDS'!$C$9:$O$35,11,FALSE),IF(E31='2. AWARDS'!I$7,(1+(R31/9))*VLOOKUP(F31,'2. AWARDS'!$C$9:$O$35,12,FALSE),IF(E31='2. AWARDS'!J$7,(1+(R31/9))*VLOOKUP(F31,'2. AWARDS'!$C$9:$O$35,13,FALSE)))))),IF(OR(N31=MAX(O31,Q31),AND(N31&gt;O31,N31&gt;Q31)),IF(E31='2. AWARDS'!F$7,((1+(R31/9))*(1+P31))*VLOOKUP(F31,'2. AWARDS'!$C$9:$O$35,9,FALSE),IF(E31='2. AWARDS'!G$7,((1+(R31/9))*(1+P31))*VLOOKUP(F31,'2. AWARDS'!$C$9:$O$35,10,FALSE),IF(E31='2. AWARDS'!H$7,((1+(R31/9))*(1+P31))*VLOOKUP(F31,'2. AWARDS'!$C$9:$O$35,11,FALSE),IF(E31='2. AWARDS'!I$7,((1+(R31/9))*(1+P31))*VLOOKUP(F31,'2. AWARDS'!$C$9:$O$35,12,FALSE),IF(E31='2. AWARDS'!J$7,((1+(R31/9))*(1+P31))*VLOOKUP(F31,'2. AWARDS'!$C$9:$O$35,13,FALSE)))))),"?")))))))))))</f>
        <v>0</v>
      </c>
      <c r="Z31" s="1093" t="e">
        <f>IF(AND(E31='2. AWARDS'!F24,O31&gt;N31,O31&gt;Q31,VLOOKUP(F31,'2. AWARDS'!$C$9:$O$35,9,FALSE)&lt;&gt;0),VLOOKUP(F31,'2. AWARDS'!$C$9:$O$35,9,FALSE)*(1+P31)*(1+(R31/9)),IF(AND(E31='2. AWARDS'!F24,O31&gt;N31,O31&gt;Q31,VLOOKUP(F31,'2. AWARDS'!$C$9:$O$35,9,FALSE)=0),X31*(1+P31)*(1+(R31/9)),IF(AND(E31='2. AWARDS'!G24,O31&gt;N31,O31&gt;Q31,VLOOKUP(F31,'2. AWARDS'!$C$9:$O$35,10,FALSE)&lt;&gt;0),VLOOKUP(F31,'2. AWARDS'!$C$9:$O$35,10,FALSE)*(1+P31)*(1+(R31/9)),IF(AND(E31='2. AWARDS'!G24,O31&gt;N31,O31&gt;Q31,VLOOKUP(F31,'2. AWARDS'!$C$9:$O$35,10,FALSE)=0),X31*(1+P31)*(1+(R31/9)),IF(AND(E31='2. AWARDS'!H24,O31&gt;N31,O31&gt;Q31,VLOOKUP(F31,'2. AWARDS'!$C$9:$O$35,11,FALSE)&lt;&gt;0),VLOOKUP(F31,'2. AWARDS'!$C$9:$O$35,11,FALSE)*(1+P31)*(1+(R31/9)),IF(AND(E31='2. AWARDS'!H24,O31&gt;N31,O31&gt;Q31,VLOOKUP(F31,'2. AWARDS'!$C$9:$O$35,11,FALSE)=0),X31*(1+P31)*(1+(R31/9)),IF(AND(E31='2. AWARDS'!I24,O31&gt;N31,O31&gt;Q31,VLOOKUP(F31,'2. AWARDS'!$C$9:$O$35,12,FALSE)&lt;&gt;0),VLOOKUP(F31,'2. AWARDS'!$C$9:$O$35,12,FALSE)*(1+P31)*(1+(R31/9)),IF(AND(E31='2. AWARDS'!I24,O31&gt;N31,O31&gt;Q31,VLOOKUP(F31,'2. AWARDS'!$C$9:$O$35,12,FALSE)=0),X31*(1+P31)*(1+(R31/9)),IF(AND(E31='2. AWARDS'!J24,O31&gt;N31,O31&gt;Q31,VLOOKUP(F31,'2. AWARDS'!$C$9:$O$35,13,FALSE)&lt;&gt;0),VLOOKUP(F31,'2. AWARDS'!$C$9:$O$35,13,FALSE)*(1+P31)*(1+(R31/9)),IF(AND(E31='2. AWARDS'!J24,O31&gt;N31,O31&gt;Q31,VLOOKUP(F31,'2. AWARDS'!$C$9:$O$35,13,FALSE)=0),X31*(1+P31)*(1+(R31/9)),IF(AND(O31&lt;N31,O31&gt;Q31),X31*(1+P31)*(1+(R31/9)),IF(AND(E31='2. AWARDS'!F24,O31=MAX(N31,Q31),VLOOKUP(F31,'2. AWARDS'!$C$9:$O$35,9,FALSE)&lt;&gt;0),VLOOKUP(F31,'2. AWARDS'!$C$9:$O$35,9,FALSE)*(1+P31)*(1+(R31/9)),IF(AND(E31='2. AWARDS'!F24,O31=MAX(N31,Q31),VLOOKUP(F31,'2. AWARDS'!$C$9:$O$35,9,FALSE)=0),X31*(1+P31)*(1+(R31/9)),IF(AND(E31='2. AWARDS'!G24,O31=MAX(N31,Q31),VLOOKUP(F31,'2. AWARDS'!$C$9:$O$35,10,FALSE)&lt;&gt;0),VLOOKUP(F31,'2. AWARDS'!$C$9:$O$35,10,FALSE)*(1+P31)*(1+(R31/9)),IF(AND(E31='2. AWARDS'!G24,O31=MAX(N31,Q31),VLOOKUP(F31,'2. AWARDS'!$C$9:$O$35,10,FALSE)=0),X31*(1+P31)*(1+(R31/9)),IF(AND(E31='2. AWARDS'!H24,O31=MAX(N31,Q31),VLOOKUP(F31,'2. AWARDS'!$C$9:$O$35,11,FALSE)&lt;&gt;0),VLOOKUP(F31,'2. AWARDS'!$C$9:$O$35,11,FALSE)*(1+P31)*(1+(R31/9)),IF(AND(E31='2. AWARDS'!H24,O31=MAX(N31,Q31),VLOOKUP(F31,'2. AWARDS'!$C$9:$O$35,11,FALSE)=0),X31*(1+P31)*(1+(R31/9)),IF(AND(E31='2. AWARDS'!I24,O31=MAX(N31,Q31),VLOOKUP(F31,'2. AWARDS'!$C$9:$O$35,12,FALSE)&lt;&gt;0),VLOOKUP(F31,'2. AWARDS'!$C$9:$O$35,12,FALSE)*(1+P31)*(1+(R31/9)),IF(AND(E31='2. AWARDS'!I24,O31=MAX(N31,Q31),VLOOKUP(F31,'2. AWARDS'!$C$9:$O$35,12,FALSE)=0),X31*(1+P31)*(1+(R31/9)),IF(AND(E31='2. AWARDS'!J24,O31=MAX(N31,Q31),VLOOKUP(F31,'2. AWARDS'!$C$9:$O$35,13,FALSE)&lt;&gt;0),VLOOKUP(F31,'2. AWARDS'!$C$9:$O$35,13,FALSE)*(1+P31)*(1+(R31/9)),IF(AND(E31='2. AWARDS'!J24,O31=MAX(N31,Q31),VLOOKUP(F31,'2. AWARDS'!$C$9:$O$35,13,FALSE)=0),X31*(1+P31)*(1+(R31/9)),IF(AND(O31&lt;N31,O31&lt;Q31),X31*(1+P31),IF(AND(O31=N31,N31&lt;Q31,E31='2. AWARDS'!F24),VLOOKUP(F31,'2. AWARDS'!$C$9:$O$35,9,FALSE)*(1+P31),IF(AND(O31=N31,N31&lt;Q31,E31='2. AWARDS'!G24),VLOOKUP(F31,'2. AWARDS'!$C$9:$O$35,10,FALSE)*(1+P31),IF(AND(O31=N31,N31&lt;Q31,E31='2. AWARDS'!H24),VLOOKUP(F31,'2. AWARDS'!$C$9:$O$35,11,FALSE)*(1+P31),IF(AND(O31=N31,N31&lt;Q31,E31='2. AWARDS'!I24),VLOOKUP(F31,'2. AWARDS'!$C$9:$O$35,12,FALSE)*(1+P31),IF(AND(O31=N31,N31&lt;Q31,E31='2. AWARDS'!J24),VLOOKUP(F31,'2. AWARDS'!$C$9:$O$35,13,FALSE)*(1+P31),IF(AND(O31=Q31,N31&gt;Q31),X31*(1+P31)*(1+(R31/9)),IF(AND(E31='2. AWARDS'!F24,O31&gt;N31,O31&lt;Q31,VLOOKUP(F31,'2. AWARDS'!$C$9:$O$35,9,FALSE)&lt;&gt;0),VLOOKUP(F31,'2. AWARDS'!$C$9:$O$35,9,FALSE)*(1+P31),IF(AND(E31='2. AWARDS'!G24,O31&gt;N31,O31&lt;Q31,VLOOKUP(F31,'2. AWARDS'!$C$9:$O$35,10,FALSE)&lt;&gt;0),VLOOKUP(F31,'2. AWARDS'!$C$9:$O$35,10,FALSE)*(1+P31),IF(AND(E31='2. AWARDS'!H24,O31&gt;N31,O31&lt;Q31,VLOOKUP(F31,'2. AWARDS'!$C$9:$O$35,11,FALSE)&lt;&gt;0),VLOOKUP(F31,'2. AWARDS'!$C$9:$O$35,11,FALSE)*(1+P31),IF(AND(E31='2. AWARDS'!I24,O31&gt;N31,O31&lt;Q31,VLOOKUP(F31,'2. AWARDS'!$C$9:$O$35,12,FALSE)&lt;&gt;0),VLOOKUP(F31,'2. AWARDS'!$C$9:$O$35,12,FALSE)*(1+P31),IF(AND(E31='2. AWARDS'!J24,O31&gt;N31,O31&lt;Q31,VLOOKUP(F31,'2. AWARDS'!$C$9:$O$35,13,FALSE)&lt;&gt;0),VLOOKUP(F31,'2. AWARDS'!$C$9:$O$35,13,FALSE)*(1+P31),X31*(1+P31))))))))))))))))))))))))))))))))))</f>
        <v>#N/A</v>
      </c>
      <c r="AA31" s="661" t="e">
        <f t="shared" si="35"/>
        <v>#N/A</v>
      </c>
      <c r="AB31" s="683"/>
      <c r="AC31" s="774"/>
      <c r="AD31" s="774"/>
      <c r="AE31" s="777"/>
      <c r="AF31" s="781">
        <f t="shared" si="20"/>
        <v>0</v>
      </c>
      <c r="AG31" s="781" t="e">
        <f>HLOOKUP(E31,'2. AWARDS'!$F$7:$J$40,32,FALSE)/5*HLOOKUP(E31,'2. AWARDS'!$F$7:$J$40,31,FALSE)*MAX(W31:AA31)*M31*HLOOKUP(E31,'2. AWARDS'!$F$7:$J$40,34,FALSE)*(L31/(38*2))</f>
        <v>#N/A</v>
      </c>
      <c r="AH31" s="783" t="e">
        <f>((HLOOKUP(E31,'2. AWARDS'!$F$7:$J$42,36,FALSE)/HLOOKUP(E31,'2. AWARDS'!$F$7:$J$42,35,FALSE)*HLOOKUP(E31,'2. AWARDS'!$F$7:$J$45,39,FALSE))/(HLOOKUP(E31,'2. AWARDS'!$F$7:$J$45,31,FALSE)*2)*L31*M31*HLOOKUP(E31,'2. AWARDS'!$F$7:$J$45,31,FALSE)*MAX(W31:AA31))</f>
        <v>#N/A</v>
      </c>
      <c r="AI31" s="474"/>
      <c r="AJ31" s="804"/>
      <c r="AK31" s="801"/>
      <c r="AL31" s="801"/>
      <c r="AM31" s="802"/>
      <c r="AN31" s="1012"/>
      <c r="AO31" s="836">
        <f>IF(AJ31="YES",HLOOKUP(E31,'2. AWARDS'!$F$7:$J$38,32,FALSE)/5*HLOOKUP(E31,'2. AWARDS'!$F$7:$J$37,31,FALSE)*L31/(HLOOKUP(E31,'2. AWARDS'!$F$7:$J$37,31,FALSE)*2)*M31*MAX(W31:AA31)*(1+HLOOKUP(E31,'2. AWARDS'!$F$7:$J$43,37,FALSE))*(1-AM31),0)</f>
        <v>0</v>
      </c>
      <c r="AP31" s="836">
        <f>IF(AK31="YES",HLOOKUP(E31,'2. AWARDS'!$F$7:$J$39,33,FALSE)/5*HLOOKUP(E31,'2. AWARDS'!$F$7:$J$37,31,FALSE)*L31/(HLOOKUP(E31,'2. AWARDS'!$F$7:$J$37,31,FALSE)*2)*M31*MAX(W31:AA31)*(1+HLOOKUP(E31,'2. AWARDS'!$F$7:$J$43,37,FALSE))*(1-AM31),0)</f>
        <v>0</v>
      </c>
      <c r="AQ31" s="838">
        <f>IF(AL31="YES",HLOOKUP(E31,'2. AWARDS'!$F$7:$J$47,40,FALSE)/5*HLOOKUP(E31,'2. AWARDS'!$F$7:$J$37,31,FALSE)*L31/(HLOOKUP(E31,'2. AWARDS'!$F$7:$J$37,31,FALSE)*2)*M31*MAX(W31:AA31)*(1+HLOOKUP(E31,'2. AWARDS'!$F$7:$J$43,37,FALSE))*(1-AM31),0)</f>
        <v>0</v>
      </c>
      <c r="AR31" s="839">
        <f>(IF(AJ31="YES",HLOOKUP(E31,'2. AWARDS'!$F$7:$J$39,32,FALSE),0)+IF(AK31="YES",HLOOKUP(E31,'2. AWARDS'!$F$7:$J$39,33,FALSE),0)+IF(AL31="YES",HLOOKUP(E31,'2. AWARDS'!$F$7:$J$47,40,FALSE),0))*L31/76*7.6*AM31*AN31*M31</f>
        <v>0</v>
      </c>
      <c r="AS31" s="683"/>
      <c r="AT31" s="802">
        <f>'1. KEY DATA'!J$29</f>
        <v>0</v>
      </c>
      <c r="AU31" s="822">
        <f>'1. KEY DATA'!J$30</f>
        <v>0.09</v>
      </c>
      <c r="AV31" s="502"/>
      <c r="AW31" s="478">
        <f t="shared" si="21"/>
        <v>0</v>
      </c>
      <c r="AX31" s="502"/>
      <c r="AY31" s="998"/>
      <c r="AZ31" s="999"/>
      <c r="BA31" s="999"/>
      <c r="BB31" s="999"/>
      <c r="BC31" s="999"/>
      <c r="BD31" s="999"/>
      <c r="BE31" s="999"/>
      <c r="BF31" s="999"/>
      <c r="BG31" s="999"/>
      <c r="BH31" s="999"/>
      <c r="BI31" s="1392"/>
      <c r="BJ31" s="1393"/>
      <c r="BK31" s="1393"/>
      <c r="BL31" s="1394"/>
      <c r="BM31" s="301">
        <f t="shared" si="22"/>
        <v>1</v>
      </c>
      <c r="BO31" s="244">
        <f t="shared" si="23"/>
        <v>0</v>
      </c>
      <c r="BP31" s="245">
        <f t="shared" si="24"/>
        <v>0</v>
      </c>
      <c r="BQ31" s="245">
        <f t="shared" si="25"/>
        <v>0</v>
      </c>
      <c r="BR31" s="245">
        <f t="shared" si="26"/>
        <v>0</v>
      </c>
      <c r="BS31" s="245">
        <f t="shared" si="27"/>
        <v>0</v>
      </c>
      <c r="BT31" s="245">
        <f t="shared" si="28"/>
        <v>0</v>
      </c>
      <c r="BU31" s="245">
        <f t="shared" si="29"/>
        <v>0</v>
      </c>
      <c r="BV31" s="245">
        <f t="shared" si="30"/>
        <v>0</v>
      </c>
      <c r="BW31" s="245">
        <f t="shared" si="31"/>
        <v>0</v>
      </c>
      <c r="BX31" s="246">
        <f t="shared" si="32"/>
        <v>0</v>
      </c>
      <c r="BY31" s="1380"/>
      <c r="BZ31" s="1381"/>
      <c r="CA31" s="1381"/>
      <c r="CB31" s="1382"/>
    </row>
    <row r="32" spans="1:80">
      <c r="A32">
        <f t="shared" si="0"/>
        <v>19</v>
      </c>
      <c r="B32" s="217"/>
      <c r="C32" s="214"/>
      <c r="D32" s="699">
        <f t="shared" si="33"/>
        <v>0</v>
      </c>
      <c r="E32" s="626"/>
      <c r="F32" s="900"/>
      <c r="G32" s="702"/>
      <c r="H32" s="693"/>
      <c r="I32" s="694"/>
      <c r="J32" s="1113"/>
      <c r="K32" s="1114"/>
      <c r="L32" s="1109"/>
      <c r="M32" s="689"/>
      <c r="N32" s="628"/>
      <c r="O32" s="629"/>
      <c r="P32" s="638">
        <f t="shared" si="36"/>
        <v>0.03</v>
      </c>
      <c r="Q32" s="629"/>
      <c r="R32" s="673" t="str">
        <f t="shared" si="17"/>
        <v>-</v>
      </c>
      <c r="S32" s="649"/>
      <c r="T32" s="647"/>
      <c r="U32" s="827"/>
      <c r="V32" s="670"/>
      <c r="W32" s="798">
        <f t="shared" si="18"/>
        <v>0</v>
      </c>
      <c r="X32" s="656">
        <f>IF(OR(E32=0,F32=0),0,IF(E32='2. AWARDS'!F$7,VLOOKUP(F32,'2. AWARDS'!$C$9:$F$35,4,FALSE),IF(E32='2. AWARDS'!G$7,VLOOKUP(F32,'2. AWARDS'!$C$9:$G$35,5,FALSE),IF(E32='2. AWARDS'!H$7,VLOOKUP(F32,'2. AWARDS'!$C$9:$H$35,6,FALSE),IF(E32='2. AWARDS'!I$7,VLOOKUP(F32,'2. AWARDS'!$C$9:$I$35,7,FALSE),VLOOKUP(F32,'2. AWARDS'!$C$9:$J$35,8,FALSE))))))</f>
        <v>0</v>
      </c>
      <c r="Y32" s="980">
        <f>IF(OR(E32=0,F32=0),0,IF(AND(N32=0,E32='2. AWARDS'!F$7,VLOOKUP(F32,'2. AWARDS'!$C$9:$O$35,9,FALSE)&lt;&gt;0),"date missing",IF(AND(N32=0,E32='2. AWARDS'!G$7,VLOOKUP(F32,'2. AWARDS'!$C$9:$O$35,10,FALSE)&lt;&gt;0),"date missing",IF(AND(N32=0,E32='2. AWARDS'!H$7,VLOOKUP(F32,'2. AWARDS'!$C$9:$O$35,11,FALSE)&lt;&gt;0),"date missing",IF(AND(N32=0,E32='2. AWARDS'!I$7,VLOOKUP(F32,'2. AWARDS'!$C$9:$O$35,12,FALSE)&lt;&gt;0),"date missing",IF(AND(N32=0,E32='2. AWARDS'!J$7,VLOOKUP(F32,'2. AWARDS'!$C$9:$O$35,13,FALSE)&lt;&gt;0),"date missing",IF(N32=0,0,IF(OR(N32=MIN(O32,Q32),AND(N32&lt;O32,N32&lt;Q32,N32&gt;0)),IF(E32='2. AWARDS'!F$7,VLOOKUP(F32,'2. AWARDS'!$C$9:$O$35,9,FALSE),IF(E32='2. AWARDS'!G$7,VLOOKUP(F32,'2. AWARDS'!$C$9:$O$35,10,FALSE),IF(E32='2. AWARDS'!H$7,VLOOKUP(F32,'2. AWARDS'!$C$9:$O$35,11,FALSE),IF(E32='2. AWARDS'!I$7,VLOOKUP(F32,'2. AWARDS'!$C$9:$O$35,12,FALSE),IF(E32='2. AWARDS'!J$7,VLOOKUP(F32,'2. AWARDS'!$C$9:$O$35,13,FALSE)))))),IF(AND(N32&gt;O32,N32&lt;Q32),IF(E32='2. AWARDS'!F$7,(1+P32)*VLOOKUP(F32,'2. AWARDS'!$C$9:$O$35,9,FALSE),IF(E32='2. AWARDS'!G$7,(1+P32)*VLOOKUP(F32,'2. AWARDS'!$C$9:$O$35,10,FALSE),IF(E32='2. AWARDS'!H$7,(1+P32)*VLOOKUP(F32,'2. AWARDS'!$C$9:$O$35,11,FALSE),IF(E32='2. AWARDS'!I$7,(1+P32)*VLOOKUP(F32,'2. AWARDS'!$C$9:$O$35,12,FALSE),IF(E32='2. AWARDS'!J$7,(1+P32)*VLOOKUP(F32,'2. AWARDS'!$C$9:$O$35,13,FALSE)))))),IF(AND(N32&lt;O32,N32&gt;Q32),IF(E32='2. AWARDS'!F$7,(1+(R32/9))*VLOOKUP(F32,'2. AWARDS'!$C$9:$O$35,9,FALSE),IF(E32='2. AWARDS'!G$7,(1+(R32/9))*VLOOKUP(F32,'2. AWARDS'!$C$9:$O$35,10,FALSE),IF(E32='2. AWARDS'!H$7,(1+(R32/9))*VLOOKUP(F32,'2. AWARDS'!$C$9:$O$35,11,FALSE),IF(E32='2. AWARDS'!I$7,(1+(R32/9))*VLOOKUP(F32,'2. AWARDS'!$C$9:$O$35,12,FALSE),IF(E32='2. AWARDS'!J$7,(1+(R32/9))*VLOOKUP(F32,'2. AWARDS'!$C$9:$O$35,13,FALSE)))))),IF(OR(N32=MAX(O32,Q32),AND(N32&gt;O32,N32&gt;Q32)),IF(E32='2. AWARDS'!F$7,((1+(R32/9))*(1+P32))*VLOOKUP(F32,'2. AWARDS'!$C$9:$O$35,9,FALSE),IF(E32='2. AWARDS'!G$7,((1+(R32/9))*(1+P32))*VLOOKUP(F32,'2. AWARDS'!$C$9:$O$35,10,FALSE),IF(E32='2. AWARDS'!H$7,((1+(R32/9))*(1+P32))*VLOOKUP(F32,'2. AWARDS'!$C$9:$O$35,11,FALSE),IF(E32='2. AWARDS'!I$7,((1+(R32/9))*(1+P32))*VLOOKUP(F32,'2. AWARDS'!$C$9:$O$35,12,FALSE),IF(E32='2. AWARDS'!J$7,((1+(R32/9))*(1+P32))*VLOOKUP(F32,'2. AWARDS'!$C$9:$O$35,13,FALSE)))))),"?")))))))))))</f>
        <v>0</v>
      </c>
      <c r="Z32" s="1093" t="e">
        <f>IF(AND(E32='2. AWARDS'!F25,O32&gt;N32,O32&gt;Q32,VLOOKUP(F32,'2. AWARDS'!$C$9:$O$35,9,FALSE)&lt;&gt;0),VLOOKUP(F32,'2. AWARDS'!$C$9:$O$35,9,FALSE)*(1+P32)*(1+(R32/9)),IF(AND(E32='2. AWARDS'!F25,O32&gt;N32,O32&gt;Q32,VLOOKUP(F32,'2. AWARDS'!$C$9:$O$35,9,FALSE)=0),X32*(1+P32)*(1+(R32/9)),IF(AND(E32='2. AWARDS'!G25,O32&gt;N32,O32&gt;Q32,VLOOKUP(F32,'2. AWARDS'!$C$9:$O$35,10,FALSE)&lt;&gt;0),VLOOKUP(F32,'2. AWARDS'!$C$9:$O$35,10,FALSE)*(1+P32)*(1+(R32/9)),IF(AND(E32='2. AWARDS'!G25,O32&gt;N32,O32&gt;Q32,VLOOKUP(F32,'2. AWARDS'!$C$9:$O$35,10,FALSE)=0),X32*(1+P32)*(1+(R32/9)),IF(AND(E32='2. AWARDS'!H25,O32&gt;N32,O32&gt;Q32,VLOOKUP(F32,'2. AWARDS'!$C$9:$O$35,11,FALSE)&lt;&gt;0),VLOOKUP(F32,'2. AWARDS'!$C$9:$O$35,11,FALSE)*(1+P32)*(1+(R32/9)),IF(AND(E32='2. AWARDS'!H25,O32&gt;N32,O32&gt;Q32,VLOOKUP(F32,'2. AWARDS'!$C$9:$O$35,11,FALSE)=0),X32*(1+P32)*(1+(R32/9)),IF(AND(E32='2. AWARDS'!I25,O32&gt;N32,O32&gt;Q32,VLOOKUP(F32,'2. AWARDS'!$C$9:$O$35,12,FALSE)&lt;&gt;0),VLOOKUP(F32,'2. AWARDS'!$C$9:$O$35,12,FALSE)*(1+P32)*(1+(R32/9)),IF(AND(E32='2. AWARDS'!I25,O32&gt;N32,O32&gt;Q32,VLOOKUP(F32,'2. AWARDS'!$C$9:$O$35,12,FALSE)=0),X32*(1+P32)*(1+(R32/9)),IF(AND(E32='2. AWARDS'!J25,O32&gt;N32,O32&gt;Q32,VLOOKUP(F32,'2. AWARDS'!$C$9:$O$35,13,FALSE)&lt;&gt;0),VLOOKUP(F32,'2. AWARDS'!$C$9:$O$35,13,FALSE)*(1+P32)*(1+(R32/9)),IF(AND(E32='2. AWARDS'!J25,O32&gt;N32,O32&gt;Q32,VLOOKUP(F32,'2. AWARDS'!$C$9:$O$35,13,FALSE)=0),X32*(1+P32)*(1+(R32/9)),IF(AND(O32&lt;N32,O32&gt;Q32),X32*(1+P32)*(1+(R32/9)),IF(AND(E32='2. AWARDS'!F25,O32=MAX(N32,Q32),VLOOKUP(F32,'2. AWARDS'!$C$9:$O$35,9,FALSE)&lt;&gt;0),VLOOKUP(F32,'2. AWARDS'!$C$9:$O$35,9,FALSE)*(1+P32)*(1+(R32/9)),IF(AND(E32='2. AWARDS'!F25,O32=MAX(N32,Q32),VLOOKUP(F32,'2. AWARDS'!$C$9:$O$35,9,FALSE)=0),X32*(1+P32)*(1+(R32/9)),IF(AND(E32='2. AWARDS'!G25,O32=MAX(N32,Q32),VLOOKUP(F32,'2. AWARDS'!$C$9:$O$35,10,FALSE)&lt;&gt;0),VLOOKUP(F32,'2. AWARDS'!$C$9:$O$35,10,FALSE)*(1+P32)*(1+(R32/9)),IF(AND(E32='2. AWARDS'!G25,O32=MAX(N32,Q32),VLOOKUP(F32,'2. AWARDS'!$C$9:$O$35,10,FALSE)=0),X32*(1+P32)*(1+(R32/9)),IF(AND(E32='2. AWARDS'!H25,O32=MAX(N32,Q32),VLOOKUP(F32,'2. AWARDS'!$C$9:$O$35,11,FALSE)&lt;&gt;0),VLOOKUP(F32,'2. AWARDS'!$C$9:$O$35,11,FALSE)*(1+P32)*(1+(R32/9)),IF(AND(E32='2. AWARDS'!H25,O32=MAX(N32,Q32),VLOOKUP(F32,'2. AWARDS'!$C$9:$O$35,11,FALSE)=0),X32*(1+P32)*(1+(R32/9)),IF(AND(E32='2. AWARDS'!I25,O32=MAX(N32,Q32),VLOOKUP(F32,'2. AWARDS'!$C$9:$O$35,12,FALSE)&lt;&gt;0),VLOOKUP(F32,'2. AWARDS'!$C$9:$O$35,12,FALSE)*(1+P32)*(1+(R32/9)),IF(AND(E32='2. AWARDS'!I25,O32=MAX(N32,Q32),VLOOKUP(F32,'2. AWARDS'!$C$9:$O$35,12,FALSE)=0),X32*(1+P32)*(1+(R32/9)),IF(AND(E32='2. AWARDS'!J25,O32=MAX(N32,Q32),VLOOKUP(F32,'2. AWARDS'!$C$9:$O$35,13,FALSE)&lt;&gt;0),VLOOKUP(F32,'2. AWARDS'!$C$9:$O$35,13,FALSE)*(1+P32)*(1+(R32/9)),IF(AND(E32='2. AWARDS'!J25,O32=MAX(N32,Q32),VLOOKUP(F32,'2. AWARDS'!$C$9:$O$35,13,FALSE)=0),X32*(1+P32)*(1+(R32/9)),IF(AND(O32&lt;N32,O32&lt;Q32),X32*(1+P32),IF(AND(O32=N32,N32&lt;Q32,E32='2. AWARDS'!F25),VLOOKUP(F32,'2. AWARDS'!$C$9:$O$35,9,FALSE)*(1+P32),IF(AND(O32=N32,N32&lt;Q32,E32='2. AWARDS'!G25),VLOOKUP(F32,'2. AWARDS'!$C$9:$O$35,10,FALSE)*(1+P32),IF(AND(O32=N32,N32&lt;Q32,E32='2. AWARDS'!H25),VLOOKUP(F32,'2. AWARDS'!$C$9:$O$35,11,FALSE)*(1+P32),IF(AND(O32=N32,N32&lt;Q32,E32='2. AWARDS'!I25),VLOOKUP(F32,'2. AWARDS'!$C$9:$O$35,12,FALSE)*(1+P32),IF(AND(O32=N32,N32&lt;Q32,E32='2. AWARDS'!J25),VLOOKUP(F32,'2. AWARDS'!$C$9:$O$35,13,FALSE)*(1+P32),IF(AND(O32=Q32,N32&gt;Q32),X32*(1+P32)*(1+(R32/9)),IF(AND(E32='2. AWARDS'!F25,O32&gt;N32,O32&lt;Q32,VLOOKUP(F32,'2. AWARDS'!$C$9:$O$35,9,FALSE)&lt;&gt;0),VLOOKUP(F32,'2. AWARDS'!$C$9:$O$35,9,FALSE)*(1+P32),IF(AND(E32='2. AWARDS'!G25,O32&gt;N32,O32&lt;Q32,VLOOKUP(F32,'2. AWARDS'!$C$9:$O$35,10,FALSE)&lt;&gt;0),VLOOKUP(F32,'2. AWARDS'!$C$9:$O$35,10,FALSE)*(1+P32),IF(AND(E32='2. AWARDS'!H25,O32&gt;N32,O32&lt;Q32,VLOOKUP(F32,'2. AWARDS'!$C$9:$O$35,11,FALSE)&lt;&gt;0),VLOOKUP(F32,'2. AWARDS'!$C$9:$O$35,11,FALSE)*(1+P32),IF(AND(E32='2. AWARDS'!I25,O32&gt;N32,O32&lt;Q32,VLOOKUP(F32,'2. AWARDS'!$C$9:$O$35,12,FALSE)&lt;&gt;0),VLOOKUP(F32,'2. AWARDS'!$C$9:$O$35,12,FALSE)*(1+P32),IF(AND(E32='2. AWARDS'!J25,O32&gt;N32,O32&lt;Q32,VLOOKUP(F32,'2. AWARDS'!$C$9:$O$35,13,FALSE)&lt;&gt;0),VLOOKUP(F32,'2. AWARDS'!$C$9:$O$35,13,FALSE)*(1+P32),X32*(1+P32))))))))))))))))))))))))))))))))))</f>
        <v>#N/A</v>
      </c>
      <c r="AA32" s="661" t="e">
        <f t="shared" si="35"/>
        <v>#N/A</v>
      </c>
      <c r="AB32" s="683"/>
      <c r="AC32" s="774"/>
      <c r="AD32" s="774"/>
      <c r="AE32" s="777"/>
      <c r="AF32" s="781">
        <f t="shared" si="20"/>
        <v>0</v>
      </c>
      <c r="AG32" s="781" t="e">
        <f>HLOOKUP(E32,'2. AWARDS'!$F$7:$J$40,32,FALSE)/5*HLOOKUP(E32,'2. AWARDS'!$F$7:$J$40,31,FALSE)*MAX(W32:AA32)*M32*HLOOKUP(E32,'2. AWARDS'!$F$7:$J$40,34,FALSE)*(L32/(38*2))</f>
        <v>#N/A</v>
      </c>
      <c r="AH32" s="783" t="e">
        <f>((HLOOKUP(E32,'2. AWARDS'!$F$7:$J$42,36,FALSE)/HLOOKUP(E32,'2. AWARDS'!$F$7:$J$42,35,FALSE)*HLOOKUP(E32,'2. AWARDS'!$F$7:$J$45,39,FALSE))/(HLOOKUP(E32,'2. AWARDS'!$F$7:$J$45,31,FALSE)*2)*L32*M32*HLOOKUP(E32,'2. AWARDS'!$F$7:$J$45,31,FALSE)*MAX(W32:AA32))</f>
        <v>#N/A</v>
      </c>
      <c r="AI32" s="474"/>
      <c r="AJ32" s="804"/>
      <c r="AK32" s="801"/>
      <c r="AL32" s="801"/>
      <c r="AM32" s="802"/>
      <c r="AN32" s="1012"/>
      <c r="AO32" s="836">
        <f>IF(AJ32="YES",HLOOKUP(E32,'2. AWARDS'!$F$7:$J$38,32,FALSE)/5*HLOOKUP(E32,'2. AWARDS'!$F$7:$J$37,31,FALSE)*L32/(HLOOKUP(E32,'2. AWARDS'!$F$7:$J$37,31,FALSE)*2)*M32*MAX(W32:AA32)*(1+HLOOKUP(E32,'2. AWARDS'!$F$7:$J$43,37,FALSE))*(1-AM32),0)</f>
        <v>0</v>
      </c>
      <c r="AP32" s="836">
        <f>IF(AK32="YES",HLOOKUP(E32,'2. AWARDS'!$F$7:$J$39,33,FALSE)/5*HLOOKUP(E32,'2. AWARDS'!$F$7:$J$37,31,FALSE)*L32/(HLOOKUP(E32,'2. AWARDS'!$F$7:$J$37,31,FALSE)*2)*M32*MAX(W32:AA32)*(1+HLOOKUP(E32,'2. AWARDS'!$F$7:$J$43,37,FALSE))*(1-AM32),0)</f>
        <v>0</v>
      </c>
      <c r="AQ32" s="838">
        <f>IF(AL32="YES",HLOOKUP(E32,'2. AWARDS'!$F$7:$J$47,40,FALSE)/5*HLOOKUP(E32,'2. AWARDS'!$F$7:$J$37,31,FALSE)*L32/(HLOOKUP(E32,'2. AWARDS'!$F$7:$J$37,31,FALSE)*2)*M32*MAX(W32:AA32)*(1+HLOOKUP(E32,'2. AWARDS'!$F$7:$J$43,37,FALSE))*(1-AM32),0)</f>
        <v>0</v>
      </c>
      <c r="AR32" s="839">
        <f>(IF(AJ32="YES",HLOOKUP(E32,'2. AWARDS'!$F$7:$J$39,32,FALSE),0)+IF(AK32="YES",HLOOKUP(E32,'2. AWARDS'!$F$7:$J$39,33,FALSE),0)+IF(AL32="YES",HLOOKUP(E32,'2. AWARDS'!$F$7:$J$47,40,FALSE),0))*L32/76*7.6*AM32*AN32*M32</f>
        <v>0</v>
      </c>
      <c r="AS32" s="683"/>
      <c r="AT32" s="802">
        <f>'1. KEY DATA'!J$29</f>
        <v>0</v>
      </c>
      <c r="AU32" s="822">
        <f>'1. KEY DATA'!J$30</f>
        <v>0.09</v>
      </c>
      <c r="AV32" s="502"/>
      <c r="AW32" s="478">
        <f t="shared" si="21"/>
        <v>0</v>
      </c>
      <c r="AX32" s="502"/>
      <c r="AY32" s="998"/>
      <c r="AZ32" s="999"/>
      <c r="BA32" s="999"/>
      <c r="BB32" s="999"/>
      <c r="BC32" s="999"/>
      <c r="BD32" s="999"/>
      <c r="BE32" s="999"/>
      <c r="BF32" s="999"/>
      <c r="BG32" s="999"/>
      <c r="BH32" s="999"/>
      <c r="BI32" s="1392"/>
      <c r="BJ32" s="1393"/>
      <c r="BK32" s="1393"/>
      <c r="BL32" s="1394"/>
      <c r="BM32" s="301">
        <f t="shared" si="22"/>
        <v>1</v>
      </c>
      <c r="BO32" s="244">
        <f t="shared" si="23"/>
        <v>0</v>
      </c>
      <c r="BP32" s="245">
        <f t="shared" si="24"/>
        <v>0</v>
      </c>
      <c r="BQ32" s="245">
        <f t="shared" si="25"/>
        <v>0</v>
      </c>
      <c r="BR32" s="245">
        <f t="shared" si="26"/>
        <v>0</v>
      </c>
      <c r="BS32" s="245">
        <f t="shared" si="27"/>
        <v>0</v>
      </c>
      <c r="BT32" s="245">
        <f t="shared" si="28"/>
        <v>0</v>
      </c>
      <c r="BU32" s="245">
        <f t="shared" si="29"/>
        <v>0</v>
      </c>
      <c r="BV32" s="245">
        <f t="shared" si="30"/>
        <v>0</v>
      </c>
      <c r="BW32" s="245">
        <f t="shared" si="31"/>
        <v>0</v>
      </c>
      <c r="BX32" s="246">
        <f t="shared" si="32"/>
        <v>0</v>
      </c>
      <c r="BY32" s="1380"/>
      <c r="BZ32" s="1381"/>
      <c r="CA32" s="1381"/>
      <c r="CB32" s="1382"/>
    </row>
    <row r="33" spans="1:80">
      <c r="A33">
        <f t="shared" si="0"/>
        <v>20</v>
      </c>
      <c r="B33" s="217"/>
      <c r="C33" s="214"/>
      <c r="D33" s="699">
        <f t="shared" si="33"/>
        <v>0</v>
      </c>
      <c r="E33" s="626"/>
      <c r="F33" s="900"/>
      <c r="G33" s="702"/>
      <c r="H33" s="693"/>
      <c r="I33" s="694"/>
      <c r="J33" s="1113"/>
      <c r="K33" s="1114"/>
      <c r="L33" s="1109"/>
      <c r="M33" s="689"/>
      <c r="N33" s="629"/>
      <c r="O33" s="629"/>
      <c r="P33" s="638">
        <f t="shared" si="36"/>
        <v>0.03</v>
      </c>
      <c r="Q33" s="629"/>
      <c r="R33" s="673" t="str">
        <f t="shared" si="17"/>
        <v>-</v>
      </c>
      <c r="S33" s="649"/>
      <c r="T33" s="647"/>
      <c r="U33" s="827"/>
      <c r="V33" s="670"/>
      <c r="W33" s="798">
        <f t="shared" si="18"/>
        <v>0</v>
      </c>
      <c r="X33" s="656">
        <f>IF(OR(E33=0,F33=0),0,IF(E33='2. AWARDS'!F$7,VLOOKUP(F33,'2. AWARDS'!$C$9:$F$35,4,FALSE),IF(E33='2. AWARDS'!G$7,VLOOKUP(F33,'2. AWARDS'!$C$9:$G$35,5,FALSE),IF(E33='2. AWARDS'!H$7,VLOOKUP(F33,'2. AWARDS'!$C$9:$H$35,6,FALSE),IF(E33='2. AWARDS'!I$7,VLOOKUP(F33,'2. AWARDS'!$C$9:$I$35,7,FALSE),VLOOKUP(F33,'2. AWARDS'!$C$9:$J$35,8,FALSE))))))</f>
        <v>0</v>
      </c>
      <c r="Y33" s="980">
        <f>IF(OR(E33=0,F33=0),0,IF(AND(N33=0,E33='2. AWARDS'!F$7,VLOOKUP(F33,'2. AWARDS'!$C$9:$O$35,9,FALSE)&lt;&gt;0),"date missing",IF(AND(N33=0,E33='2. AWARDS'!G$7,VLOOKUP(F33,'2. AWARDS'!$C$9:$O$35,10,FALSE)&lt;&gt;0),"date missing",IF(AND(N33=0,E33='2. AWARDS'!H$7,VLOOKUP(F33,'2. AWARDS'!$C$9:$O$35,11,FALSE)&lt;&gt;0),"date missing",IF(AND(N33=0,E33='2. AWARDS'!I$7,VLOOKUP(F33,'2. AWARDS'!$C$9:$O$35,12,FALSE)&lt;&gt;0),"date missing",IF(AND(N33=0,E33='2. AWARDS'!J$7,VLOOKUP(F33,'2. AWARDS'!$C$9:$O$35,13,FALSE)&lt;&gt;0),"date missing",IF(N33=0,0,IF(OR(N33=MIN(O33,Q33),AND(N33&lt;O33,N33&lt;Q33,N33&gt;0)),IF(E33='2. AWARDS'!F$7,VLOOKUP(F33,'2. AWARDS'!$C$9:$O$35,9,FALSE),IF(E33='2. AWARDS'!G$7,VLOOKUP(F33,'2. AWARDS'!$C$9:$O$35,10,FALSE),IF(E33='2. AWARDS'!H$7,VLOOKUP(F33,'2. AWARDS'!$C$9:$O$35,11,FALSE),IF(E33='2. AWARDS'!I$7,VLOOKUP(F33,'2. AWARDS'!$C$9:$O$35,12,FALSE),IF(E33='2. AWARDS'!J$7,VLOOKUP(F33,'2. AWARDS'!$C$9:$O$35,13,FALSE)))))),IF(AND(N33&gt;O33,N33&lt;Q33),IF(E33='2. AWARDS'!F$7,(1+P33)*VLOOKUP(F33,'2. AWARDS'!$C$9:$O$35,9,FALSE),IF(E33='2. AWARDS'!G$7,(1+P33)*VLOOKUP(F33,'2. AWARDS'!$C$9:$O$35,10,FALSE),IF(E33='2. AWARDS'!H$7,(1+P33)*VLOOKUP(F33,'2. AWARDS'!$C$9:$O$35,11,FALSE),IF(E33='2. AWARDS'!I$7,(1+P33)*VLOOKUP(F33,'2. AWARDS'!$C$9:$O$35,12,FALSE),IF(E33='2. AWARDS'!J$7,(1+P33)*VLOOKUP(F33,'2. AWARDS'!$C$9:$O$35,13,FALSE)))))),IF(AND(N33&lt;O33,N33&gt;Q33),IF(E33='2. AWARDS'!F$7,(1+(R33/9))*VLOOKUP(F33,'2. AWARDS'!$C$9:$O$35,9,FALSE),IF(E33='2. AWARDS'!G$7,(1+(R33/9))*VLOOKUP(F33,'2. AWARDS'!$C$9:$O$35,10,FALSE),IF(E33='2. AWARDS'!H$7,(1+(R33/9))*VLOOKUP(F33,'2. AWARDS'!$C$9:$O$35,11,FALSE),IF(E33='2. AWARDS'!I$7,(1+(R33/9))*VLOOKUP(F33,'2. AWARDS'!$C$9:$O$35,12,FALSE),IF(E33='2. AWARDS'!J$7,(1+(R33/9))*VLOOKUP(F33,'2. AWARDS'!$C$9:$O$35,13,FALSE)))))),IF(OR(N33=MAX(O33,Q33),AND(N33&gt;O33,N33&gt;Q33)),IF(E33='2. AWARDS'!F$7,((1+(R33/9))*(1+P33))*VLOOKUP(F33,'2. AWARDS'!$C$9:$O$35,9,FALSE),IF(E33='2. AWARDS'!G$7,((1+(R33/9))*(1+P33))*VLOOKUP(F33,'2. AWARDS'!$C$9:$O$35,10,FALSE),IF(E33='2. AWARDS'!H$7,((1+(R33/9))*(1+P33))*VLOOKUP(F33,'2. AWARDS'!$C$9:$O$35,11,FALSE),IF(E33='2. AWARDS'!I$7,((1+(R33/9))*(1+P33))*VLOOKUP(F33,'2. AWARDS'!$C$9:$O$35,12,FALSE),IF(E33='2. AWARDS'!J$7,((1+(R33/9))*(1+P33))*VLOOKUP(F33,'2. AWARDS'!$C$9:$O$35,13,FALSE)))))),"?")))))))))))</f>
        <v>0</v>
      </c>
      <c r="Z33" s="1093" t="e">
        <f>IF(AND(E33='2. AWARDS'!F26,O33&gt;N33,O33&gt;Q33,VLOOKUP(F33,'2. AWARDS'!$C$9:$O$35,9,FALSE)&lt;&gt;0),VLOOKUP(F33,'2. AWARDS'!$C$9:$O$35,9,FALSE)*(1+P33)*(1+(R33/9)),IF(AND(E33='2. AWARDS'!F26,O33&gt;N33,O33&gt;Q33,VLOOKUP(F33,'2. AWARDS'!$C$9:$O$35,9,FALSE)=0),X33*(1+P33)*(1+(R33/9)),IF(AND(E33='2. AWARDS'!G26,O33&gt;N33,O33&gt;Q33,VLOOKUP(F33,'2. AWARDS'!$C$9:$O$35,10,FALSE)&lt;&gt;0),VLOOKUP(F33,'2. AWARDS'!$C$9:$O$35,10,FALSE)*(1+P33)*(1+(R33/9)),IF(AND(E33='2. AWARDS'!G26,O33&gt;N33,O33&gt;Q33,VLOOKUP(F33,'2. AWARDS'!$C$9:$O$35,10,FALSE)=0),X33*(1+P33)*(1+(R33/9)),IF(AND(E33='2. AWARDS'!H26,O33&gt;N33,O33&gt;Q33,VLOOKUP(F33,'2. AWARDS'!$C$9:$O$35,11,FALSE)&lt;&gt;0),VLOOKUP(F33,'2. AWARDS'!$C$9:$O$35,11,FALSE)*(1+P33)*(1+(R33/9)),IF(AND(E33='2. AWARDS'!H26,O33&gt;N33,O33&gt;Q33,VLOOKUP(F33,'2. AWARDS'!$C$9:$O$35,11,FALSE)=0),X33*(1+P33)*(1+(R33/9)),IF(AND(E33='2. AWARDS'!I26,O33&gt;N33,O33&gt;Q33,VLOOKUP(F33,'2. AWARDS'!$C$9:$O$35,12,FALSE)&lt;&gt;0),VLOOKUP(F33,'2. AWARDS'!$C$9:$O$35,12,FALSE)*(1+P33)*(1+(R33/9)),IF(AND(E33='2. AWARDS'!I26,O33&gt;N33,O33&gt;Q33,VLOOKUP(F33,'2. AWARDS'!$C$9:$O$35,12,FALSE)=0),X33*(1+P33)*(1+(R33/9)),IF(AND(E33='2. AWARDS'!J26,O33&gt;N33,O33&gt;Q33,VLOOKUP(F33,'2. AWARDS'!$C$9:$O$35,13,FALSE)&lt;&gt;0),VLOOKUP(F33,'2. AWARDS'!$C$9:$O$35,13,FALSE)*(1+P33)*(1+(R33/9)),IF(AND(E33='2. AWARDS'!J26,O33&gt;N33,O33&gt;Q33,VLOOKUP(F33,'2. AWARDS'!$C$9:$O$35,13,FALSE)=0),X33*(1+P33)*(1+(R33/9)),IF(AND(O33&lt;N33,O33&gt;Q33),X33*(1+P33)*(1+(R33/9)),IF(AND(E33='2. AWARDS'!F26,O33=MAX(N33,Q33),VLOOKUP(F33,'2. AWARDS'!$C$9:$O$35,9,FALSE)&lt;&gt;0),VLOOKUP(F33,'2. AWARDS'!$C$9:$O$35,9,FALSE)*(1+P33)*(1+(R33/9)),IF(AND(E33='2. AWARDS'!F26,O33=MAX(N33,Q33),VLOOKUP(F33,'2. AWARDS'!$C$9:$O$35,9,FALSE)=0),X33*(1+P33)*(1+(R33/9)),IF(AND(E33='2. AWARDS'!G26,O33=MAX(N33,Q33),VLOOKUP(F33,'2. AWARDS'!$C$9:$O$35,10,FALSE)&lt;&gt;0),VLOOKUP(F33,'2. AWARDS'!$C$9:$O$35,10,FALSE)*(1+P33)*(1+(R33/9)),IF(AND(E33='2. AWARDS'!G26,O33=MAX(N33,Q33),VLOOKUP(F33,'2. AWARDS'!$C$9:$O$35,10,FALSE)=0),X33*(1+P33)*(1+(R33/9)),IF(AND(E33='2. AWARDS'!H26,O33=MAX(N33,Q33),VLOOKUP(F33,'2. AWARDS'!$C$9:$O$35,11,FALSE)&lt;&gt;0),VLOOKUP(F33,'2. AWARDS'!$C$9:$O$35,11,FALSE)*(1+P33)*(1+(R33/9)),IF(AND(E33='2. AWARDS'!H26,O33=MAX(N33,Q33),VLOOKUP(F33,'2. AWARDS'!$C$9:$O$35,11,FALSE)=0),X33*(1+P33)*(1+(R33/9)),IF(AND(E33='2. AWARDS'!I26,O33=MAX(N33,Q33),VLOOKUP(F33,'2. AWARDS'!$C$9:$O$35,12,FALSE)&lt;&gt;0),VLOOKUP(F33,'2. AWARDS'!$C$9:$O$35,12,FALSE)*(1+P33)*(1+(R33/9)),IF(AND(E33='2. AWARDS'!I26,O33=MAX(N33,Q33),VLOOKUP(F33,'2. AWARDS'!$C$9:$O$35,12,FALSE)=0),X33*(1+P33)*(1+(R33/9)),IF(AND(E33='2. AWARDS'!J26,O33=MAX(N33,Q33),VLOOKUP(F33,'2. AWARDS'!$C$9:$O$35,13,FALSE)&lt;&gt;0),VLOOKUP(F33,'2. AWARDS'!$C$9:$O$35,13,FALSE)*(1+P33)*(1+(R33/9)),IF(AND(E33='2. AWARDS'!J26,O33=MAX(N33,Q33),VLOOKUP(F33,'2. AWARDS'!$C$9:$O$35,13,FALSE)=0),X33*(1+P33)*(1+(R33/9)),IF(AND(O33&lt;N33,O33&lt;Q33),X33*(1+P33),IF(AND(O33=N33,N33&lt;Q33,E33='2. AWARDS'!F26),VLOOKUP(F33,'2. AWARDS'!$C$9:$O$35,9,FALSE)*(1+P33),IF(AND(O33=N33,N33&lt;Q33,E33='2. AWARDS'!G26),VLOOKUP(F33,'2. AWARDS'!$C$9:$O$35,10,FALSE)*(1+P33),IF(AND(O33=N33,N33&lt;Q33,E33='2. AWARDS'!H26),VLOOKUP(F33,'2. AWARDS'!$C$9:$O$35,11,FALSE)*(1+P33),IF(AND(O33=N33,N33&lt;Q33,E33='2. AWARDS'!I26),VLOOKUP(F33,'2. AWARDS'!$C$9:$O$35,12,FALSE)*(1+P33),IF(AND(O33=N33,N33&lt;Q33,E33='2. AWARDS'!J26),VLOOKUP(F33,'2. AWARDS'!$C$9:$O$35,13,FALSE)*(1+P33),IF(AND(O33=Q33,N33&gt;Q33),X33*(1+P33)*(1+(R33/9)),IF(AND(E33='2. AWARDS'!F26,O33&gt;N33,O33&lt;Q33,VLOOKUP(F33,'2. AWARDS'!$C$9:$O$35,9,FALSE)&lt;&gt;0),VLOOKUP(F33,'2. AWARDS'!$C$9:$O$35,9,FALSE)*(1+P33),IF(AND(E33='2. AWARDS'!G26,O33&gt;N33,O33&lt;Q33,VLOOKUP(F33,'2. AWARDS'!$C$9:$O$35,10,FALSE)&lt;&gt;0),VLOOKUP(F33,'2. AWARDS'!$C$9:$O$35,10,FALSE)*(1+P33),IF(AND(E33='2. AWARDS'!H26,O33&gt;N33,O33&lt;Q33,VLOOKUP(F33,'2. AWARDS'!$C$9:$O$35,11,FALSE)&lt;&gt;0),VLOOKUP(F33,'2. AWARDS'!$C$9:$O$35,11,FALSE)*(1+P33),IF(AND(E33='2. AWARDS'!I26,O33&gt;N33,O33&lt;Q33,VLOOKUP(F33,'2. AWARDS'!$C$9:$O$35,12,FALSE)&lt;&gt;0),VLOOKUP(F33,'2. AWARDS'!$C$9:$O$35,12,FALSE)*(1+P33),IF(AND(E33='2. AWARDS'!J26,O33&gt;N33,O33&lt;Q33,VLOOKUP(F33,'2. AWARDS'!$C$9:$O$35,13,FALSE)&lt;&gt;0),VLOOKUP(F33,'2. AWARDS'!$C$9:$O$35,13,FALSE)*(1+P33),X33*(1+P33))))))))))))))))))))))))))))))))))</f>
        <v>#N/A</v>
      </c>
      <c r="AA33" s="661" t="e">
        <f t="shared" si="35"/>
        <v>#N/A</v>
      </c>
      <c r="AB33" s="683"/>
      <c r="AC33" s="774"/>
      <c r="AD33" s="774"/>
      <c r="AE33" s="777"/>
      <c r="AF33" s="781">
        <f t="shared" si="20"/>
        <v>0</v>
      </c>
      <c r="AG33" s="781" t="e">
        <f>HLOOKUP(E33,'2. AWARDS'!$F$7:$J$40,32,FALSE)/5*HLOOKUP(E33,'2. AWARDS'!$F$7:$J$40,31,FALSE)*MAX(W33:AA33)*M33*HLOOKUP(E33,'2. AWARDS'!$F$7:$J$40,34,FALSE)*(L33/(38*2))</f>
        <v>#N/A</v>
      </c>
      <c r="AH33" s="783" t="e">
        <f>((HLOOKUP(E33,'2. AWARDS'!$F$7:$J$42,36,FALSE)/HLOOKUP(E33,'2. AWARDS'!$F$7:$J$42,35,FALSE)*HLOOKUP(E33,'2. AWARDS'!$F$7:$J$45,39,FALSE))/(HLOOKUP(E33,'2. AWARDS'!$F$7:$J$45,31,FALSE)*2)*L33*M33*HLOOKUP(E33,'2. AWARDS'!$F$7:$J$45,31,FALSE)*MAX(W33:AA33))</f>
        <v>#N/A</v>
      </c>
      <c r="AI33" s="474"/>
      <c r="AJ33" s="804"/>
      <c r="AK33" s="801"/>
      <c r="AL33" s="801"/>
      <c r="AM33" s="802"/>
      <c r="AN33" s="1012"/>
      <c r="AO33" s="836">
        <f>IF(AJ33="YES",HLOOKUP(E33,'2. AWARDS'!$F$7:$J$38,32,FALSE)/5*HLOOKUP(E33,'2. AWARDS'!$F$7:$J$37,31,FALSE)*L33/(HLOOKUP(E33,'2. AWARDS'!$F$7:$J$37,31,FALSE)*2)*M33*MAX(W33:AA33)*(1+HLOOKUP(E33,'2. AWARDS'!$F$7:$J$43,37,FALSE))*(1-AM33),0)</f>
        <v>0</v>
      </c>
      <c r="AP33" s="836">
        <f>IF(AK33="YES",HLOOKUP(E33,'2. AWARDS'!$F$7:$J$39,33,FALSE)/5*HLOOKUP(E33,'2. AWARDS'!$F$7:$J$37,31,FALSE)*L33/(HLOOKUP(E33,'2. AWARDS'!$F$7:$J$37,31,FALSE)*2)*M33*MAX(W33:AA33)*(1+HLOOKUP(E33,'2. AWARDS'!$F$7:$J$43,37,FALSE))*(1-AM33),0)</f>
        <v>0</v>
      </c>
      <c r="AQ33" s="838">
        <f>IF(AL33="YES",HLOOKUP(E33,'2. AWARDS'!$F$7:$J$47,40,FALSE)/5*HLOOKUP(E33,'2. AWARDS'!$F$7:$J$37,31,FALSE)*L33/(HLOOKUP(E33,'2. AWARDS'!$F$7:$J$37,31,FALSE)*2)*M33*MAX(W33:AA33)*(1+HLOOKUP(E33,'2. AWARDS'!$F$7:$J$43,37,FALSE))*(1-AM33),0)</f>
        <v>0</v>
      </c>
      <c r="AR33" s="839">
        <f>(IF(AJ33="YES",HLOOKUP(E33,'2. AWARDS'!$F$7:$J$39,32,FALSE),0)+IF(AK33="YES",HLOOKUP(E33,'2. AWARDS'!$F$7:$J$39,33,FALSE),0)+IF(AL33="YES",HLOOKUP(E33,'2. AWARDS'!$F$7:$J$47,40,FALSE),0))*L33/76*7.6*AM33*AN33*M33</f>
        <v>0</v>
      </c>
      <c r="AS33" s="683"/>
      <c r="AT33" s="802">
        <f>'1. KEY DATA'!J$29</f>
        <v>0</v>
      </c>
      <c r="AU33" s="822">
        <f>'1. KEY DATA'!J$30</f>
        <v>0.09</v>
      </c>
      <c r="AV33" s="502"/>
      <c r="AW33" s="478">
        <f t="shared" si="21"/>
        <v>0</v>
      </c>
      <c r="AX33" s="502"/>
      <c r="AY33" s="998"/>
      <c r="AZ33" s="999"/>
      <c r="BA33" s="999"/>
      <c r="BB33" s="999"/>
      <c r="BC33" s="999"/>
      <c r="BD33" s="999"/>
      <c r="BE33" s="999"/>
      <c r="BF33" s="999"/>
      <c r="BG33" s="999"/>
      <c r="BH33" s="999"/>
      <c r="BI33" s="1392"/>
      <c r="BJ33" s="1393"/>
      <c r="BK33" s="1393"/>
      <c r="BL33" s="1394"/>
      <c r="BM33" s="301">
        <f t="shared" si="22"/>
        <v>1</v>
      </c>
      <c r="BO33" s="244">
        <f t="shared" si="23"/>
        <v>0</v>
      </c>
      <c r="BP33" s="245">
        <f t="shared" si="24"/>
        <v>0</v>
      </c>
      <c r="BQ33" s="245">
        <f t="shared" si="25"/>
        <v>0</v>
      </c>
      <c r="BR33" s="245">
        <f t="shared" si="26"/>
        <v>0</v>
      </c>
      <c r="BS33" s="245">
        <f t="shared" si="27"/>
        <v>0</v>
      </c>
      <c r="BT33" s="245">
        <f t="shared" si="28"/>
        <v>0</v>
      </c>
      <c r="BU33" s="245">
        <f t="shared" si="29"/>
        <v>0</v>
      </c>
      <c r="BV33" s="245">
        <f t="shared" si="30"/>
        <v>0</v>
      </c>
      <c r="BW33" s="245">
        <f t="shared" si="31"/>
        <v>0</v>
      </c>
      <c r="BX33" s="246">
        <f t="shared" si="32"/>
        <v>0</v>
      </c>
      <c r="BY33" s="1380"/>
      <c r="BZ33" s="1381"/>
      <c r="CA33" s="1381"/>
      <c r="CB33" s="1382"/>
    </row>
    <row r="34" spans="1:80">
      <c r="A34">
        <f t="shared" si="0"/>
        <v>21</v>
      </c>
      <c r="B34" s="217"/>
      <c r="C34" s="214"/>
      <c r="D34" s="699">
        <f t="shared" si="33"/>
        <v>0</v>
      </c>
      <c r="E34" s="626"/>
      <c r="F34" s="900"/>
      <c r="G34" s="702"/>
      <c r="H34" s="693"/>
      <c r="I34" s="694"/>
      <c r="J34" s="1113"/>
      <c r="K34" s="1114"/>
      <c r="L34" s="1109"/>
      <c r="M34" s="689"/>
      <c r="N34" s="629"/>
      <c r="O34" s="629"/>
      <c r="P34" s="638">
        <f t="shared" si="36"/>
        <v>0.03</v>
      </c>
      <c r="Q34" s="629"/>
      <c r="R34" s="673" t="str">
        <f t="shared" si="17"/>
        <v>-</v>
      </c>
      <c r="S34" s="649"/>
      <c r="T34" s="647"/>
      <c r="U34" s="827"/>
      <c r="V34" s="670"/>
      <c r="W34" s="798">
        <f t="shared" si="18"/>
        <v>0</v>
      </c>
      <c r="X34" s="656">
        <f>IF(OR(E34=0,F34=0),0,IF(E34='2. AWARDS'!F$7,VLOOKUP(F34,'2. AWARDS'!$C$9:$F$35,4,FALSE),IF(E34='2. AWARDS'!G$7,VLOOKUP(F34,'2. AWARDS'!$C$9:$G$35,5,FALSE),IF(E34='2. AWARDS'!H$7,VLOOKUP(F34,'2. AWARDS'!$C$9:$H$35,6,FALSE),IF(E34='2. AWARDS'!I$7,VLOOKUP(F34,'2. AWARDS'!$C$9:$I$35,7,FALSE),VLOOKUP(F34,'2. AWARDS'!$C$9:$J$35,8,FALSE))))))</f>
        <v>0</v>
      </c>
      <c r="Y34" s="980">
        <f>IF(OR(E34=0,F34=0),0,IF(AND(N34=0,E34='2. AWARDS'!F$7,VLOOKUP(F34,'2. AWARDS'!$C$9:$O$35,9,FALSE)&lt;&gt;0),"date missing",IF(AND(N34=0,E34='2. AWARDS'!G$7,VLOOKUP(F34,'2. AWARDS'!$C$9:$O$35,10,FALSE)&lt;&gt;0),"date missing",IF(AND(N34=0,E34='2. AWARDS'!H$7,VLOOKUP(F34,'2. AWARDS'!$C$9:$O$35,11,FALSE)&lt;&gt;0),"date missing",IF(AND(N34=0,E34='2. AWARDS'!I$7,VLOOKUP(F34,'2. AWARDS'!$C$9:$O$35,12,FALSE)&lt;&gt;0),"date missing",IF(AND(N34=0,E34='2. AWARDS'!J$7,VLOOKUP(F34,'2. AWARDS'!$C$9:$O$35,13,FALSE)&lt;&gt;0),"date missing",IF(N34=0,0,IF(OR(N34=MIN(O34,Q34),AND(N34&lt;O34,N34&lt;Q34,N34&gt;0)),IF(E34='2. AWARDS'!F$7,VLOOKUP(F34,'2. AWARDS'!$C$9:$O$35,9,FALSE),IF(E34='2. AWARDS'!G$7,VLOOKUP(F34,'2. AWARDS'!$C$9:$O$35,10,FALSE),IF(E34='2. AWARDS'!H$7,VLOOKUP(F34,'2. AWARDS'!$C$9:$O$35,11,FALSE),IF(E34='2. AWARDS'!I$7,VLOOKUP(F34,'2. AWARDS'!$C$9:$O$35,12,FALSE),IF(E34='2. AWARDS'!J$7,VLOOKUP(F34,'2. AWARDS'!$C$9:$O$35,13,FALSE)))))),IF(AND(N34&gt;O34,N34&lt;Q34),IF(E34='2. AWARDS'!F$7,(1+P34)*VLOOKUP(F34,'2. AWARDS'!$C$9:$O$35,9,FALSE),IF(E34='2. AWARDS'!G$7,(1+P34)*VLOOKUP(F34,'2. AWARDS'!$C$9:$O$35,10,FALSE),IF(E34='2. AWARDS'!H$7,(1+P34)*VLOOKUP(F34,'2. AWARDS'!$C$9:$O$35,11,FALSE),IF(E34='2. AWARDS'!I$7,(1+P34)*VLOOKUP(F34,'2. AWARDS'!$C$9:$O$35,12,FALSE),IF(E34='2. AWARDS'!J$7,(1+P34)*VLOOKUP(F34,'2. AWARDS'!$C$9:$O$35,13,FALSE)))))),IF(AND(N34&lt;O34,N34&gt;Q34),IF(E34='2. AWARDS'!F$7,(1+(R34/9))*VLOOKUP(F34,'2. AWARDS'!$C$9:$O$35,9,FALSE),IF(E34='2. AWARDS'!G$7,(1+(R34/9))*VLOOKUP(F34,'2. AWARDS'!$C$9:$O$35,10,FALSE),IF(E34='2. AWARDS'!H$7,(1+(R34/9))*VLOOKUP(F34,'2. AWARDS'!$C$9:$O$35,11,FALSE),IF(E34='2. AWARDS'!I$7,(1+(R34/9))*VLOOKUP(F34,'2. AWARDS'!$C$9:$O$35,12,FALSE),IF(E34='2. AWARDS'!J$7,(1+(R34/9))*VLOOKUP(F34,'2. AWARDS'!$C$9:$O$35,13,FALSE)))))),IF(OR(N34=MAX(O34,Q34),AND(N34&gt;O34,N34&gt;Q34)),IF(E34='2. AWARDS'!F$7,((1+(R34/9))*(1+P34))*VLOOKUP(F34,'2. AWARDS'!$C$9:$O$35,9,FALSE),IF(E34='2. AWARDS'!G$7,((1+(R34/9))*(1+P34))*VLOOKUP(F34,'2. AWARDS'!$C$9:$O$35,10,FALSE),IF(E34='2. AWARDS'!H$7,((1+(R34/9))*(1+P34))*VLOOKUP(F34,'2. AWARDS'!$C$9:$O$35,11,FALSE),IF(E34='2. AWARDS'!I$7,((1+(R34/9))*(1+P34))*VLOOKUP(F34,'2. AWARDS'!$C$9:$O$35,12,FALSE),IF(E34='2. AWARDS'!J$7,((1+(R34/9))*(1+P34))*VLOOKUP(F34,'2. AWARDS'!$C$9:$O$35,13,FALSE)))))),"?")))))))))))</f>
        <v>0</v>
      </c>
      <c r="Z34" s="1093" t="e">
        <f>IF(AND(E34='2. AWARDS'!F27,O34&gt;N34,O34&gt;Q34,VLOOKUP(F34,'2. AWARDS'!$C$9:$O$35,9,FALSE)&lt;&gt;0),VLOOKUP(F34,'2. AWARDS'!$C$9:$O$35,9,FALSE)*(1+P34)*(1+(R34/9)),IF(AND(E34='2. AWARDS'!F27,O34&gt;N34,O34&gt;Q34,VLOOKUP(F34,'2. AWARDS'!$C$9:$O$35,9,FALSE)=0),X34*(1+P34)*(1+(R34/9)),IF(AND(E34='2. AWARDS'!G27,O34&gt;N34,O34&gt;Q34,VLOOKUP(F34,'2. AWARDS'!$C$9:$O$35,10,FALSE)&lt;&gt;0),VLOOKUP(F34,'2. AWARDS'!$C$9:$O$35,10,FALSE)*(1+P34)*(1+(R34/9)),IF(AND(E34='2. AWARDS'!G27,O34&gt;N34,O34&gt;Q34,VLOOKUP(F34,'2. AWARDS'!$C$9:$O$35,10,FALSE)=0),X34*(1+P34)*(1+(R34/9)),IF(AND(E34='2. AWARDS'!H27,O34&gt;N34,O34&gt;Q34,VLOOKUP(F34,'2. AWARDS'!$C$9:$O$35,11,FALSE)&lt;&gt;0),VLOOKUP(F34,'2. AWARDS'!$C$9:$O$35,11,FALSE)*(1+P34)*(1+(R34/9)),IF(AND(E34='2. AWARDS'!H27,O34&gt;N34,O34&gt;Q34,VLOOKUP(F34,'2. AWARDS'!$C$9:$O$35,11,FALSE)=0),X34*(1+P34)*(1+(R34/9)),IF(AND(E34='2. AWARDS'!I27,O34&gt;N34,O34&gt;Q34,VLOOKUP(F34,'2. AWARDS'!$C$9:$O$35,12,FALSE)&lt;&gt;0),VLOOKUP(F34,'2. AWARDS'!$C$9:$O$35,12,FALSE)*(1+P34)*(1+(R34/9)),IF(AND(E34='2. AWARDS'!I27,O34&gt;N34,O34&gt;Q34,VLOOKUP(F34,'2. AWARDS'!$C$9:$O$35,12,FALSE)=0),X34*(1+P34)*(1+(R34/9)),IF(AND(E34='2. AWARDS'!J27,O34&gt;N34,O34&gt;Q34,VLOOKUP(F34,'2. AWARDS'!$C$9:$O$35,13,FALSE)&lt;&gt;0),VLOOKUP(F34,'2. AWARDS'!$C$9:$O$35,13,FALSE)*(1+P34)*(1+(R34/9)),IF(AND(E34='2. AWARDS'!J27,O34&gt;N34,O34&gt;Q34,VLOOKUP(F34,'2. AWARDS'!$C$9:$O$35,13,FALSE)=0),X34*(1+P34)*(1+(R34/9)),IF(AND(O34&lt;N34,O34&gt;Q34),X34*(1+P34)*(1+(R34/9)),IF(AND(E34='2. AWARDS'!F27,O34=MAX(N34,Q34),VLOOKUP(F34,'2. AWARDS'!$C$9:$O$35,9,FALSE)&lt;&gt;0),VLOOKUP(F34,'2. AWARDS'!$C$9:$O$35,9,FALSE)*(1+P34)*(1+(R34/9)),IF(AND(E34='2. AWARDS'!F27,O34=MAX(N34,Q34),VLOOKUP(F34,'2. AWARDS'!$C$9:$O$35,9,FALSE)=0),X34*(1+P34)*(1+(R34/9)),IF(AND(E34='2. AWARDS'!G27,O34=MAX(N34,Q34),VLOOKUP(F34,'2. AWARDS'!$C$9:$O$35,10,FALSE)&lt;&gt;0),VLOOKUP(F34,'2. AWARDS'!$C$9:$O$35,10,FALSE)*(1+P34)*(1+(R34/9)),IF(AND(E34='2. AWARDS'!G27,O34=MAX(N34,Q34),VLOOKUP(F34,'2. AWARDS'!$C$9:$O$35,10,FALSE)=0),X34*(1+P34)*(1+(R34/9)),IF(AND(E34='2. AWARDS'!H27,O34=MAX(N34,Q34),VLOOKUP(F34,'2. AWARDS'!$C$9:$O$35,11,FALSE)&lt;&gt;0),VLOOKUP(F34,'2. AWARDS'!$C$9:$O$35,11,FALSE)*(1+P34)*(1+(R34/9)),IF(AND(E34='2. AWARDS'!H27,O34=MAX(N34,Q34),VLOOKUP(F34,'2. AWARDS'!$C$9:$O$35,11,FALSE)=0),X34*(1+P34)*(1+(R34/9)),IF(AND(E34='2. AWARDS'!I27,O34=MAX(N34,Q34),VLOOKUP(F34,'2. AWARDS'!$C$9:$O$35,12,FALSE)&lt;&gt;0),VLOOKUP(F34,'2. AWARDS'!$C$9:$O$35,12,FALSE)*(1+P34)*(1+(R34/9)),IF(AND(E34='2. AWARDS'!I27,O34=MAX(N34,Q34),VLOOKUP(F34,'2. AWARDS'!$C$9:$O$35,12,FALSE)=0),X34*(1+P34)*(1+(R34/9)),IF(AND(E34='2. AWARDS'!J27,O34=MAX(N34,Q34),VLOOKUP(F34,'2. AWARDS'!$C$9:$O$35,13,FALSE)&lt;&gt;0),VLOOKUP(F34,'2. AWARDS'!$C$9:$O$35,13,FALSE)*(1+P34)*(1+(R34/9)),IF(AND(E34='2. AWARDS'!J27,O34=MAX(N34,Q34),VLOOKUP(F34,'2. AWARDS'!$C$9:$O$35,13,FALSE)=0),X34*(1+P34)*(1+(R34/9)),IF(AND(O34&lt;N34,O34&lt;Q34),X34*(1+P34),IF(AND(O34=N34,N34&lt;Q34,E34='2. AWARDS'!F27),VLOOKUP(F34,'2. AWARDS'!$C$9:$O$35,9,FALSE)*(1+P34),IF(AND(O34=N34,N34&lt;Q34,E34='2. AWARDS'!G27),VLOOKUP(F34,'2. AWARDS'!$C$9:$O$35,10,FALSE)*(1+P34),IF(AND(O34=N34,N34&lt;Q34,E34='2. AWARDS'!H27),VLOOKUP(F34,'2. AWARDS'!$C$9:$O$35,11,FALSE)*(1+P34),IF(AND(O34=N34,N34&lt;Q34,E34='2. AWARDS'!I27),VLOOKUP(F34,'2. AWARDS'!$C$9:$O$35,12,FALSE)*(1+P34),IF(AND(O34=N34,N34&lt;Q34,E34='2. AWARDS'!J27),VLOOKUP(F34,'2. AWARDS'!$C$9:$O$35,13,FALSE)*(1+P34),IF(AND(O34=Q34,N34&gt;Q34),X34*(1+P34)*(1+(R34/9)),IF(AND(E34='2. AWARDS'!F27,O34&gt;N34,O34&lt;Q34,VLOOKUP(F34,'2. AWARDS'!$C$9:$O$35,9,FALSE)&lt;&gt;0),VLOOKUP(F34,'2. AWARDS'!$C$9:$O$35,9,FALSE)*(1+P34),IF(AND(E34='2. AWARDS'!G27,O34&gt;N34,O34&lt;Q34,VLOOKUP(F34,'2. AWARDS'!$C$9:$O$35,10,FALSE)&lt;&gt;0),VLOOKUP(F34,'2. AWARDS'!$C$9:$O$35,10,FALSE)*(1+P34),IF(AND(E34='2. AWARDS'!H27,O34&gt;N34,O34&lt;Q34,VLOOKUP(F34,'2. AWARDS'!$C$9:$O$35,11,FALSE)&lt;&gt;0),VLOOKUP(F34,'2. AWARDS'!$C$9:$O$35,11,FALSE)*(1+P34),IF(AND(E34='2. AWARDS'!I27,O34&gt;N34,O34&lt;Q34,VLOOKUP(F34,'2. AWARDS'!$C$9:$O$35,12,FALSE)&lt;&gt;0),VLOOKUP(F34,'2. AWARDS'!$C$9:$O$35,12,FALSE)*(1+P34),IF(AND(E34='2. AWARDS'!J27,O34&gt;N34,O34&lt;Q34,VLOOKUP(F34,'2. AWARDS'!$C$9:$O$35,13,FALSE)&lt;&gt;0),VLOOKUP(F34,'2. AWARDS'!$C$9:$O$35,13,FALSE)*(1+P34),X34*(1+P34))))))))))))))))))))))))))))))))))</f>
        <v>#N/A</v>
      </c>
      <c r="AA34" s="661" t="e">
        <f t="shared" si="35"/>
        <v>#N/A</v>
      </c>
      <c r="AB34" s="683"/>
      <c r="AC34" s="774"/>
      <c r="AD34" s="774"/>
      <c r="AE34" s="777"/>
      <c r="AF34" s="781">
        <f t="shared" si="20"/>
        <v>0</v>
      </c>
      <c r="AG34" s="781" t="e">
        <f>HLOOKUP(E34,'2. AWARDS'!$F$7:$J$40,32,FALSE)/5*HLOOKUP(E34,'2. AWARDS'!$F$7:$J$40,31,FALSE)*MAX(W34:AA34)*M34*HLOOKUP(E34,'2. AWARDS'!$F$7:$J$40,34,FALSE)*(L34/(38*2))</f>
        <v>#N/A</v>
      </c>
      <c r="AH34" s="783" t="e">
        <f>((HLOOKUP(E34,'2. AWARDS'!$F$7:$J$42,36,FALSE)/HLOOKUP(E34,'2. AWARDS'!$F$7:$J$42,35,FALSE)*HLOOKUP(E34,'2. AWARDS'!$F$7:$J$45,39,FALSE))/(HLOOKUP(E34,'2. AWARDS'!$F$7:$J$45,31,FALSE)*2)*L34*M34*HLOOKUP(E34,'2. AWARDS'!$F$7:$J$45,31,FALSE)*MAX(W34:AA34))</f>
        <v>#N/A</v>
      </c>
      <c r="AI34" s="474"/>
      <c r="AJ34" s="804"/>
      <c r="AK34" s="801"/>
      <c r="AL34" s="801"/>
      <c r="AM34" s="802"/>
      <c r="AN34" s="1012"/>
      <c r="AO34" s="836">
        <f>IF(AJ34="YES",HLOOKUP(E34,'2. AWARDS'!$F$7:$J$38,32,FALSE)/5*HLOOKUP(E34,'2. AWARDS'!$F$7:$J$37,31,FALSE)*L34/(HLOOKUP(E34,'2. AWARDS'!$F$7:$J$37,31,FALSE)*2)*M34*MAX(W34:AA34)*(1+HLOOKUP(E34,'2. AWARDS'!$F$7:$J$43,37,FALSE))*(1-AM34),0)</f>
        <v>0</v>
      </c>
      <c r="AP34" s="836">
        <f>IF(AK34="YES",HLOOKUP(E34,'2. AWARDS'!$F$7:$J$39,33,FALSE)/5*HLOOKUP(E34,'2. AWARDS'!$F$7:$J$37,31,FALSE)*L34/(HLOOKUP(E34,'2. AWARDS'!$F$7:$J$37,31,FALSE)*2)*M34*MAX(W34:AA34)*(1+HLOOKUP(E34,'2. AWARDS'!$F$7:$J$43,37,FALSE))*(1-AM34),0)</f>
        <v>0</v>
      </c>
      <c r="AQ34" s="838">
        <f>IF(AL34="YES",HLOOKUP(E34,'2. AWARDS'!$F$7:$J$47,40,FALSE)/5*HLOOKUP(E34,'2. AWARDS'!$F$7:$J$37,31,FALSE)*L34/(HLOOKUP(E34,'2. AWARDS'!$F$7:$J$37,31,FALSE)*2)*M34*MAX(W34:AA34)*(1+HLOOKUP(E34,'2. AWARDS'!$F$7:$J$43,37,FALSE))*(1-AM34),0)</f>
        <v>0</v>
      </c>
      <c r="AR34" s="839">
        <f>(IF(AJ34="YES",HLOOKUP(E34,'2. AWARDS'!$F$7:$J$39,32,FALSE),0)+IF(AK34="YES",HLOOKUP(E34,'2. AWARDS'!$F$7:$J$39,33,FALSE),0)+IF(AL34="YES",HLOOKUP(E34,'2. AWARDS'!$F$7:$J$47,40,FALSE),0))*L34/76*7.6*AM34*AN34*M34</f>
        <v>0</v>
      </c>
      <c r="AS34" s="683"/>
      <c r="AT34" s="802">
        <f>'1. KEY DATA'!J$29</f>
        <v>0</v>
      </c>
      <c r="AU34" s="822">
        <f>'1. KEY DATA'!J$30</f>
        <v>0.09</v>
      </c>
      <c r="AV34" s="502"/>
      <c r="AW34" s="478">
        <f t="shared" si="21"/>
        <v>0</v>
      </c>
      <c r="AX34" s="502"/>
      <c r="AY34" s="998"/>
      <c r="AZ34" s="999"/>
      <c r="BA34" s="999"/>
      <c r="BB34" s="999"/>
      <c r="BC34" s="999"/>
      <c r="BD34" s="999"/>
      <c r="BE34" s="999"/>
      <c r="BF34" s="999"/>
      <c r="BG34" s="999"/>
      <c r="BH34" s="999"/>
      <c r="BI34" s="1392"/>
      <c r="BJ34" s="1393"/>
      <c r="BK34" s="1393"/>
      <c r="BL34" s="1394"/>
      <c r="BM34" s="301">
        <f t="shared" si="22"/>
        <v>1</v>
      </c>
      <c r="BO34" s="244">
        <f t="shared" si="23"/>
        <v>0</v>
      </c>
      <c r="BP34" s="245">
        <f t="shared" si="24"/>
        <v>0</v>
      </c>
      <c r="BQ34" s="245">
        <f t="shared" si="25"/>
        <v>0</v>
      </c>
      <c r="BR34" s="245">
        <f t="shared" si="26"/>
        <v>0</v>
      </c>
      <c r="BS34" s="245">
        <f t="shared" si="27"/>
        <v>0</v>
      </c>
      <c r="BT34" s="245">
        <f t="shared" si="28"/>
        <v>0</v>
      </c>
      <c r="BU34" s="245">
        <f t="shared" si="29"/>
        <v>0</v>
      </c>
      <c r="BV34" s="245">
        <f t="shared" si="30"/>
        <v>0</v>
      </c>
      <c r="BW34" s="245">
        <f t="shared" si="31"/>
        <v>0</v>
      </c>
      <c r="BX34" s="246">
        <f t="shared" si="32"/>
        <v>0</v>
      </c>
      <c r="BY34" s="1380"/>
      <c r="BZ34" s="1381"/>
      <c r="CA34" s="1381"/>
      <c r="CB34" s="1382"/>
    </row>
    <row r="35" spans="1:80">
      <c r="A35">
        <f t="shared" ref="A35:A41" si="37">A27+1</f>
        <v>15</v>
      </c>
      <c r="B35" s="217"/>
      <c r="C35" s="214"/>
      <c r="D35" s="699">
        <f t="shared" ref="D35:D41" si="38">D27</f>
        <v>0</v>
      </c>
      <c r="E35" s="626"/>
      <c r="F35" s="900"/>
      <c r="G35" s="702"/>
      <c r="H35" s="693"/>
      <c r="I35" s="694"/>
      <c r="J35" s="1113"/>
      <c r="K35" s="1114"/>
      <c r="L35" s="1109"/>
      <c r="M35" s="689"/>
      <c r="N35" s="629"/>
      <c r="O35" s="629"/>
      <c r="P35" s="638">
        <f t="shared" ref="P35:P41" si="39">P27</f>
        <v>0.03</v>
      </c>
      <c r="Q35" s="629"/>
      <c r="R35" s="673" t="str">
        <f t="shared" ref="R35:R41" si="40">IF(AND(F35&gt;0.9,F35&lt;3),0.23,IF(AND(F35&gt;2.9,F35&lt;4),0.26,IF(AND(F35&gt;3.9,F35&lt;5),0.32,IF(AND(F35&gt;4.9,F35&lt;6),0.37,IF(AND(F35&gt;5.9,F35&lt;7),0.4,IF(AND(F35&gt;6.9,F35&lt;8),0.42,IF(F35&gt;7.9,0.45,"-")))))))</f>
        <v>-</v>
      </c>
      <c r="S35" s="649"/>
      <c r="T35" s="647"/>
      <c r="U35" s="827"/>
      <c r="V35" s="670"/>
      <c r="W35" s="798">
        <f t="shared" ref="W35:W41" si="41">T35*(1+U35)</f>
        <v>0</v>
      </c>
      <c r="X35" s="656">
        <f>IF(OR(E35=0,F35=0),0,IF(E35='2. AWARDS'!F$7,VLOOKUP(F35,'2. AWARDS'!$C$9:$F$35,4,FALSE),IF(E35='2. AWARDS'!G$7,VLOOKUP(F35,'2. AWARDS'!$C$9:$G$35,5,FALSE),IF(E35='2. AWARDS'!H$7,VLOOKUP(F35,'2. AWARDS'!$C$9:$H$35,6,FALSE),IF(E35='2. AWARDS'!I$7,VLOOKUP(F35,'2. AWARDS'!$C$9:$I$35,7,FALSE),VLOOKUP(F35,'2. AWARDS'!$C$9:$J$35,8,FALSE))))))</f>
        <v>0</v>
      </c>
      <c r="Y35" s="980">
        <f>IF(OR(E35=0,F35=0),0,IF(AND(N35=0,E35='2. AWARDS'!F$7,VLOOKUP(F35,'2. AWARDS'!$C$9:$O$35,9,FALSE)&lt;&gt;0),"date missing",IF(AND(N35=0,E35='2. AWARDS'!G$7,VLOOKUP(F35,'2. AWARDS'!$C$9:$O$35,10,FALSE)&lt;&gt;0),"date missing",IF(AND(N35=0,E35='2. AWARDS'!H$7,VLOOKUP(F35,'2. AWARDS'!$C$9:$O$35,11,FALSE)&lt;&gt;0),"date missing",IF(AND(N35=0,E35='2. AWARDS'!I$7,VLOOKUP(F35,'2. AWARDS'!$C$9:$O$35,12,FALSE)&lt;&gt;0),"date missing",IF(AND(N35=0,E35='2. AWARDS'!J$7,VLOOKUP(F35,'2. AWARDS'!$C$9:$O$35,13,FALSE)&lt;&gt;0),"date missing",IF(N35=0,0,IF(OR(N35=MIN(O35,Q35),AND(N35&lt;O35,N35&lt;Q35,N35&gt;0)),IF(E35='2. AWARDS'!F$7,VLOOKUP(F35,'2. AWARDS'!$C$9:$O$35,9,FALSE),IF(E35='2. AWARDS'!G$7,VLOOKUP(F35,'2. AWARDS'!$C$9:$O$35,10,FALSE),IF(E35='2. AWARDS'!H$7,VLOOKUP(F35,'2. AWARDS'!$C$9:$O$35,11,FALSE),IF(E35='2. AWARDS'!I$7,VLOOKUP(F35,'2. AWARDS'!$C$9:$O$35,12,FALSE),IF(E35='2. AWARDS'!J$7,VLOOKUP(F35,'2. AWARDS'!$C$9:$O$35,13,FALSE)))))),IF(AND(N35&gt;O35,N35&lt;Q35),IF(E35='2. AWARDS'!F$7,(1+P35)*VLOOKUP(F35,'2. AWARDS'!$C$9:$O$35,9,FALSE),IF(E35='2. AWARDS'!G$7,(1+P35)*VLOOKUP(F35,'2. AWARDS'!$C$9:$O$35,10,FALSE),IF(E35='2. AWARDS'!H$7,(1+P35)*VLOOKUP(F35,'2. AWARDS'!$C$9:$O$35,11,FALSE),IF(E35='2. AWARDS'!I$7,(1+P35)*VLOOKUP(F35,'2. AWARDS'!$C$9:$O$35,12,FALSE),IF(E35='2. AWARDS'!J$7,(1+P35)*VLOOKUP(F35,'2. AWARDS'!$C$9:$O$35,13,FALSE)))))),IF(AND(N35&lt;O35,N35&gt;Q35),IF(E35='2. AWARDS'!F$7,(1+(R35/9))*VLOOKUP(F35,'2. AWARDS'!$C$9:$O$35,9,FALSE),IF(E35='2. AWARDS'!G$7,(1+(R35/9))*VLOOKUP(F35,'2. AWARDS'!$C$9:$O$35,10,FALSE),IF(E35='2. AWARDS'!H$7,(1+(R35/9))*VLOOKUP(F35,'2. AWARDS'!$C$9:$O$35,11,FALSE),IF(E35='2. AWARDS'!I$7,(1+(R35/9))*VLOOKUP(F35,'2. AWARDS'!$C$9:$O$35,12,FALSE),IF(E35='2. AWARDS'!J$7,(1+(R35/9))*VLOOKUP(F35,'2. AWARDS'!$C$9:$O$35,13,FALSE)))))),IF(OR(N35=MAX(O35,Q35),AND(N35&gt;O35,N35&gt;Q35)),IF(E35='2. AWARDS'!F$7,((1+(R35/9))*(1+P35))*VLOOKUP(F35,'2. AWARDS'!$C$9:$O$35,9,FALSE),IF(E35='2. AWARDS'!G$7,((1+(R35/9))*(1+P35))*VLOOKUP(F35,'2. AWARDS'!$C$9:$O$35,10,FALSE),IF(E35='2. AWARDS'!H$7,((1+(R35/9))*(1+P35))*VLOOKUP(F35,'2. AWARDS'!$C$9:$O$35,11,FALSE),IF(E35='2. AWARDS'!I$7,((1+(R35/9))*(1+P35))*VLOOKUP(F35,'2. AWARDS'!$C$9:$O$35,12,FALSE),IF(E35='2. AWARDS'!J$7,((1+(R35/9))*(1+P35))*VLOOKUP(F35,'2. AWARDS'!$C$9:$O$35,13,FALSE)))))),"?")))))))))))</f>
        <v>0</v>
      </c>
      <c r="Z35" s="1093" t="e">
        <f>IF(AND(E35='2. AWARDS'!F21,O35&gt;N35,O35&gt;Q35,VLOOKUP(F35,'2. AWARDS'!$C$9:$O$35,9,FALSE)&lt;&gt;0),VLOOKUP(F35,'2. AWARDS'!$C$9:$O$35,9,FALSE)*(1+P35)*(1+(R35/9)),IF(AND(E35='2. AWARDS'!F21,O35&gt;N35,O35&gt;Q35,VLOOKUP(F35,'2. AWARDS'!$C$9:$O$35,9,FALSE)=0),X35*(1+P35)*(1+(R35/9)),IF(AND(E35='2. AWARDS'!G21,O35&gt;N35,O35&gt;Q35,VLOOKUP(F35,'2. AWARDS'!$C$9:$O$35,10,FALSE)&lt;&gt;0),VLOOKUP(F35,'2. AWARDS'!$C$9:$O$35,10,FALSE)*(1+P35)*(1+(R35/9)),IF(AND(E35='2. AWARDS'!G21,O35&gt;N35,O35&gt;Q35,VLOOKUP(F35,'2. AWARDS'!$C$9:$O$35,10,FALSE)=0),X35*(1+P35)*(1+(R35/9)),IF(AND(E35='2. AWARDS'!H21,O35&gt;N35,O35&gt;Q35,VLOOKUP(F35,'2. AWARDS'!$C$9:$O$35,11,FALSE)&lt;&gt;0),VLOOKUP(F35,'2. AWARDS'!$C$9:$O$35,11,FALSE)*(1+P35)*(1+(R35/9)),IF(AND(E35='2. AWARDS'!H21,O35&gt;N35,O35&gt;Q35,VLOOKUP(F35,'2. AWARDS'!$C$9:$O$35,11,FALSE)=0),X35*(1+P35)*(1+(R35/9)),IF(AND(E35='2. AWARDS'!I21,O35&gt;N35,O35&gt;Q35,VLOOKUP(F35,'2. AWARDS'!$C$9:$O$35,12,FALSE)&lt;&gt;0),VLOOKUP(F35,'2. AWARDS'!$C$9:$O$35,12,FALSE)*(1+P35)*(1+(R35/9)),IF(AND(E35='2. AWARDS'!I21,O35&gt;N35,O35&gt;Q35,VLOOKUP(F35,'2. AWARDS'!$C$9:$O$35,12,FALSE)=0),X35*(1+P35)*(1+(R35/9)),IF(AND(E35='2. AWARDS'!J21,O35&gt;N35,O35&gt;Q35,VLOOKUP(F35,'2. AWARDS'!$C$9:$O$35,13,FALSE)&lt;&gt;0),VLOOKUP(F35,'2. AWARDS'!$C$9:$O$35,13,FALSE)*(1+P35)*(1+(R35/9)),IF(AND(E35='2. AWARDS'!J21,O35&gt;N35,O35&gt;Q35,VLOOKUP(F35,'2. AWARDS'!$C$9:$O$35,13,FALSE)=0),X35*(1+P35)*(1+(R35/9)),IF(AND(O35&lt;N35,O35&gt;Q35),X35*(1+P35)*(1+(R35/9)),IF(AND(E35='2. AWARDS'!F21,O35=MAX(N35,Q35),VLOOKUP(F35,'2. AWARDS'!$C$9:$O$35,9,FALSE)&lt;&gt;0),VLOOKUP(F35,'2. AWARDS'!$C$9:$O$35,9,FALSE)*(1+P35)*(1+(R35/9)),IF(AND(E35='2. AWARDS'!F21,O35=MAX(N35,Q35),VLOOKUP(F35,'2. AWARDS'!$C$9:$O$35,9,FALSE)=0),X35*(1+P35)*(1+(R35/9)),IF(AND(E35='2. AWARDS'!G21,O35=MAX(N35,Q35),VLOOKUP(F35,'2. AWARDS'!$C$9:$O$35,10,FALSE)&lt;&gt;0),VLOOKUP(F35,'2. AWARDS'!$C$9:$O$35,10,FALSE)*(1+P35)*(1+(R35/9)),IF(AND(E35='2. AWARDS'!G21,O35=MAX(N35,Q35),VLOOKUP(F35,'2. AWARDS'!$C$9:$O$35,10,FALSE)=0),X35*(1+P35)*(1+(R35/9)),IF(AND(E35='2. AWARDS'!H21,O35=MAX(N35,Q35),VLOOKUP(F35,'2. AWARDS'!$C$9:$O$35,11,FALSE)&lt;&gt;0),VLOOKUP(F35,'2. AWARDS'!$C$9:$O$35,11,FALSE)*(1+P35)*(1+(R35/9)),IF(AND(E35='2. AWARDS'!H21,O35=MAX(N35,Q35),VLOOKUP(F35,'2. AWARDS'!$C$9:$O$35,11,FALSE)=0),X35*(1+P35)*(1+(R35/9)),IF(AND(E35='2. AWARDS'!I21,O35=MAX(N35,Q35),VLOOKUP(F35,'2. AWARDS'!$C$9:$O$35,12,FALSE)&lt;&gt;0),VLOOKUP(F35,'2. AWARDS'!$C$9:$O$35,12,FALSE)*(1+P35)*(1+(R35/9)),IF(AND(E35='2. AWARDS'!I21,O35=MAX(N35,Q35),VLOOKUP(F35,'2. AWARDS'!$C$9:$O$35,12,FALSE)=0),X35*(1+P35)*(1+(R35/9)),IF(AND(E35='2. AWARDS'!J21,O35=MAX(N35,Q35),VLOOKUP(F35,'2. AWARDS'!$C$9:$O$35,13,FALSE)&lt;&gt;0),VLOOKUP(F35,'2. AWARDS'!$C$9:$O$35,13,FALSE)*(1+P35)*(1+(R35/9)),IF(AND(E35='2. AWARDS'!J21,O35=MAX(N35,Q35),VLOOKUP(F35,'2. AWARDS'!$C$9:$O$35,13,FALSE)=0),X35*(1+P35)*(1+(R35/9)),IF(AND(O35&lt;N35,O35&lt;Q35),X35*(1+P35),IF(AND(O35=N35,N35&lt;Q35,E35='2. AWARDS'!F21),VLOOKUP(F35,'2. AWARDS'!$C$9:$O$35,9,FALSE)*(1+P35),IF(AND(O35=N35,N35&lt;Q35,E35='2. AWARDS'!G21),VLOOKUP(F35,'2. AWARDS'!$C$9:$O$35,10,FALSE)*(1+P35),IF(AND(O35=N35,N35&lt;Q35,E35='2. AWARDS'!H21),VLOOKUP(F35,'2. AWARDS'!$C$9:$O$35,11,FALSE)*(1+P35),IF(AND(O35=N35,N35&lt;Q35,E35='2. AWARDS'!I21),VLOOKUP(F35,'2. AWARDS'!$C$9:$O$35,12,FALSE)*(1+P35),IF(AND(O35=N35,N35&lt;Q35,E35='2. AWARDS'!J21),VLOOKUP(F35,'2. AWARDS'!$C$9:$O$35,13,FALSE)*(1+P35),IF(AND(O35=Q35,N35&gt;Q35),X35*(1+P35)*(1+(R35/9)),IF(AND(E35='2. AWARDS'!F21,O35&gt;N35,O35&lt;Q35,VLOOKUP(F35,'2. AWARDS'!$C$9:$O$35,9,FALSE)&lt;&gt;0),VLOOKUP(F35,'2. AWARDS'!$C$9:$O$35,9,FALSE)*(1+P35),IF(AND(E35='2. AWARDS'!G21,O35&gt;N35,O35&lt;Q35,VLOOKUP(F35,'2. AWARDS'!$C$9:$O$35,10,FALSE)&lt;&gt;0),VLOOKUP(F35,'2. AWARDS'!$C$9:$O$35,10,FALSE)*(1+P35),IF(AND(E35='2. AWARDS'!H21,O35&gt;N35,O35&lt;Q35,VLOOKUP(F35,'2. AWARDS'!$C$9:$O$35,11,FALSE)&lt;&gt;0),VLOOKUP(F35,'2. AWARDS'!$C$9:$O$35,11,FALSE)*(1+P35),IF(AND(E35='2. AWARDS'!I21,O35&gt;N35,O35&lt;Q35,VLOOKUP(F35,'2. AWARDS'!$C$9:$O$35,12,FALSE)&lt;&gt;0),VLOOKUP(F35,'2. AWARDS'!$C$9:$O$35,12,FALSE)*(1+P35),IF(AND(E35='2. AWARDS'!J21,O35&gt;N35,O35&lt;Q35,VLOOKUP(F35,'2. AWARDS'!$C$9:$O$35,13,FALSE)&lt;&gt;0),VLOOKUP(F35,'2. AWARDS'!$C$9:$O$35,13,FALSE)*(1+P35),X35*(1+P35))))))))))))))))))))))))))))))))))</f>
        <v>#N/A</v>
      </c>
      <c r="AA35" s="661" t="e">
        <f t="shared" ref="AA35:AA41" si="42">IF(OR(Q35=MAX(N35,O35),AND(Q35&gt;O35,Q35&gt;N35)),(MAX(Y35,Z35)*(R35/9))+MAX(Y35:Z35),IF(OR(Q35=MIN(N35,O35),AND(Q35&lt;N35,Q35&lt;O35)),X35*(1+(R35/9)),IF(AND(Q35&lt;O35,Q35&gt;N35,Y35&gt;0),Y35*(1+(R35/9)),IF(AND(Q35&lt;O35,Q35&gt;N35,Y35=0),X35*(1+(R35/9)),X35*(1+P35)*(1+(R35/9))))))</f>
        <v>#N/A</v>
      </c>
      <c r="AB35" s="683"/>
      <c r="AC35" s="774"/>
      <c r="AD35" s="774"/>
      <c r="AE35" s="777"/>
      <c r="AF35" s="781">
        <f t="shared" ref="AF35:AF41" si="43">IF(J35="YES",L35*M35*K35*MAX(W35:AA35),0)</f>
        <v>0</v>
      </c>
      <c r="AG35" s="781" t="e">
        <f>HLOOKUP(E35,'2. AWARDS'!$F$7:$J$40,32,FALSE)/5*HLOOKUP(E35,'2. AWARDS'!$F$7:$J$40,31,FALSE)*MAX(W35:AA35)*M35*HLOOKUP(E35,'2. AWARDS'!$F$7:$J$40,34,FALSE)*(L35/(38*2))</f>
        <v>#N/A</v>
      </c>
      <c r="AH35" s="783" t="e">
        <f>((HLOOKUP(E35,'2. AWARDS'!$F$7:$J$42,36,FALSE)/HLOOKUP(E35,'2. AWARDS'!$F$7:$J$42,35,FALSE)*HLOOKUP(E35,'2. AWARDS'!$F$7:$J$45,39,FALSE))/(HLOOKUP(E35,'2. AWARDS'!$F$7:$J$45,31,FALSE)*2)*L35*M35*HLOOKUP(E35,'2. AWARDS'!$F$7:$J$45,31,FALSE)*MAX(W35:AA35))</f>
        <v>#N/A</v>
      </c>
      <c r="AI35" s="474"/>
      <c r="AJ35" s="804"/>
      <c r="AK35" s="801"/>
      <c r="AL35" s="801"/>
      <c r="AM35" s="802"/>
      <c r="AN35" s="1012"/>
      <c r="AO35" s="836">
        <f>IF(AJ35="YES",HLOOKUP(E35,'2. AWARDS'!$F$7:$J$38,32,FALSE)/5*HLOOKUP(E35,'2. AWARDS'!$F$7:$J$37,31,FALSE)*L35/(HLOOKUP(E35,'2. AWARDS'!$F$7:$J$37,31,FALSE)*2)*M35*MAX(W35:AA35)*(1+HLOOKUP(E35,'2. AWARDS'!$F$7:$J$43,37,FALSE))*(1-AM35),0)</f>
        <v>0</v>
      </c>
      <c r="AP35" s="836">
        <f>IF(AK35="YES",HLOOKUP(E35,'2. AWARDS'!$F$7:$J$39,33,FALSE)/5*HLOOKUP(E35,'2. AWARDS'!$F$7:$J$37,31,FALSE)*L35/(HLOOKUP(E35,'2. AWARDS'!$F$7:$J$37,31,FALSE)*2)*M35*MAX(W35:AA35)*(1+HLOOKUP(E35,'2. AWARDS'!$F$7:$J$43,37,FALSE))*(1-AM35),0)</f>
        <v>0</v>
      </c>
      <c r="AQ35" s="838">
        <f>IF(AL35="YES",HLOOKUP(E35,'2. AWARDS'!$F$7:$J$47,40,FALSE)/5*HLOOKUP(E35,'2. AWARDS'!$F$7:$J$37,31,FALSE)*L35/(HLOOKUP(E35,'2. AWARDS'!$F$7:$J$37,31,FALSE)*2)*M35*MAX(W35:AA35)*(1+HLOOKUP(E35,'2. AWARDS'!$F$7:$J$43,37,FALSE))*(1-AM35),0)</f>
        <v>0</v>
      </c>
      <c r="AR35" s="839">
        <f>(IF(AJ35="YES",HLOOKUP(E35,'2. AWARDS'!$F$7:$J$39,32,FALSE),0)+IF(AK35="YES",HLOOKUP(E35,'2. AWARDS'!$F$7:$J$39,33,FALSE),0)+IF(AL35="YES",HLOOKUP(E35,'2. AWARDS'!$F$7:$J$47,40,FALSE),0))*L35/76*7.6*AM35*AN35*M35</f>
        <v>0</v>
      </c>
      <c r="AS35" s="683"/>
      <c r="AT35" s="802">
        <f>'1. KEY DATA'!J$29</f>
        <v>0</v>
      </c>
      <c r="AU35" s="822">
        <f>'1. KEY DATA'!J$30</f>
        <v>0.09</v>
      </c>
      <c r="AV35" s="502"/>
      <c r="AW35" s="478">
        <f t="shared" ref="AW35:AW41" si="44">IF(OR(E35=0,F35=0),0,IF(OR(O35=0,Q35=0),"date missing",IF(W35&gt;MAX(X35:AA35),((((T35*(V35-D35+1))+( W35*(D35+365-V35-1)))/365*(1+H35+I35)*L35*M35*26.071428)+SUM(AC35:AH35)+SUM(AO35:AQ35))*(1+AT35+AU35)+AR35,IF(OR(N35=0,Y35=0),((((((X35*(O35+Q35-MAX(O35,Q35)-D35+1))+(MIN(Z35,AA35)*(MAX(O35,Q35)-MIN(O35,Q35)))+(MAX(Z35,AA35)*(D35+365-1-MAX(O35,Q35)))))/365)*(1+H35+I35)*L35*M35*26.071428)+SUM(AC35:AH35)+SUM(AO35:AQ35))*(1+AT35+AU35)+AR35,IF(Y35&lt;AND(Z35,AA35),(((((X35*(N35-D35+1))+(Y35*(MIN(O35,Q35)-N35))+(MIN(Z35,AA35)*(MAX(O35,Q35)-MIN(O35,Q35)))+(MAX(Z35,AA35)*(D35+365-MAX(O35,Q35)-1)))/365)*(1+H35+I35)*L35*M35*26.071428)+SUM(AC35:AH35)+SUM(AO35:AQ35))*(1+AT35+AU35)+AR35,IF(Z35&lt;AND(Y35,AA35),((((X35*(O35-D35+1)+(Z35*(MIN(N35,Q35)-O35))+(MIN(Y35,AA35)*(MAX(N35,Q35)-MIN(N35,Q35)))+(MAX(Y35,AA35)*(D35+365-MAX(N35,Q35)-1)))/365)*(1+H35+I35)*L35*M35*26.071428)+SUM(AC35:AH35)+SUM(AO35:AQ35))*(1+AT35+AU35)+AR35,(((((X35*(Q35-D35+1)+(AA35*(MIN(N35,O35)-Q35))+(MIN(Y35,Z35)*(MAX(N35,O35)-MIN(N35,O35)))+(MAX(Y35,Z35)*(D35+365-MAX(N35,O35)-1)))/365)*(1+H35+I35)*L35*M35*26.071428)+SUM(AC35:AH35)+SUM(AO35:AQ35))*(1+AT35+AU35)+AR35)))))))</f>
        <v>0</v>
      </c>
      <c r="AX35" s="502"/>
      <c r="AY35" s="998"/>
      <c r="AZ35" s="999"/>
      <c r="BA35" s="999"/>
      <c r="BB35" s="999"/>
      <c r="BC35" s="999"/>
      <c r="BD35" s="999"/>
      <c r="BE35" s="999"/>
      <c r="BF35" s="999"/>
      <c r="BG35" s="999"/>
      <c r="BH35" s="999"/>
      <c r="BI35" s="1392"/>
      <c r="BJ35" s="1393"/>
      <c r="BK35" s="1393"/>
      <c r="BL35" s="1394"/>
      <c r="BM35" s="301">
        <f t="shared" ref="BM35:BM41" si="45">1-SUM(AY35:BL35)</f>
        <v>1</v>
      </c>
      <c r="BO35" s="244">
        <f t="shared" ref="BO35:BO41" si="46">IF(OR($E35=0,$F35=0),0,IF($AW35&gt;0,IF($BM35=0,$AW35*AY35,"alloc error"),"-"))</f>
        <v>0</v>
      </c>
      <c r="BP35" s="245">
        <f t="shared" ref="BP35:BP41" si="47">IF(OR($E35=0,$F35=0),0,IF($AW35&gt;0,IF($BM35=0,$AW35*AZ35,"alloc error"),"-"))</f>
        <v>0</v>
      </c>
      <c r="BQ35" s="245">
        <f t="shared" ref="BQ35:BQ41" si="48">IF(OR($E35=0,$F35=0),0,IF($AW35&gt;0,IF($BM35=0,$AW35*BA35,"alloc error"),"-"))</f>
        <v>0</v>
      </c>
      <c r="BR35" s="245">
        <f t="shared" ref="BR35:BR41" si="49">IF(OR($E35=0,$F35=0),0,IF($AW35&gt;0,IF($BM35=0,$AW35*BB35,"alloc error"),"-"))</f>
        <v>0</v>
      </c>
      <c r="BS35" s="245">
        <f t="shared" ref="BS35:BS41" si="50">IF(OR($E35=0,$F35=0),0,IF($AW35&gt;0,IF($BM35=0,$AW35*BC35,"alloc error"),"-"))</f>
        <v>0</v>
      </c>
      <c r="BT35" s="245">
        <f t="shared" ref="BT35:BT41" si="51">IF(OR($E35=0,$F35=0),0,IF($AW35&gt;0,IF($BM35=0,$AW35*BD35,"alloc error"),"-"))</f>
        <v>0</v>
      </c>
      <c r="BU35" s="245">
        <f t="shared" ref="BU35:BU41" si="52">IF(OR($E35=0,$F35=0),0,IF($AW35&gt;0,IF($BM35=0,$AW35*BE35,"alloc error"),"-"))</f>
        <v>0</v>
      </c>
      <c r="BV35" s="245">
        <f t="shared" ref="BV35:BV41" si="53">IF(OR($E35=0,$F35=0),0,IF($AW35&gt;0,IF($BM35=0,$AW35*BF35,"alloc error"),"-"))</f>
        <v>0</v>
      </c>
      <c r="BW35" s="245">
        <f t="shared" ref="BW35:BW41" si="54">IF(OR($E35=0,$F35=0),0,IF($AW35&gt;0,IF($BM35=0,$AW35*BG35,"alloc error"),"-"))</f>
        <v>0</v>
      </c>
      <c r="BX35" s="246">
        <f t="shared" ref="BX35:BX41" si="55">IF(OR($E35=0,$F35=0),0,IF($AW35&gt;0,IF($BM35=0,$AW35*BH35,"alloc error"),"-"))</f>
        <v>0</v>
      </c>
      <c r="BY35" s="1380"/>
      <c r="BZ35" s="1381"/>
      <c r="CA35" s="1381"/>
      <c r="CB35" s="1382"/>
    </row>
    <row r="36" spans="1:80">
      <c r="A36">
        <f t="shared" si="37"/>
        <v>16</v>
      </c>
      <c r="B36" s="217"/>
      <c r="C36" s="214"/>
      <c r="D36" s="699">
        <f t="shared" si="38"/>
        <v>0</v>
      </c>
      <c r="E36" s="626"/>
      <c r="F36" s="900"/>
      <c r="G36" s="702"/>
      <c r="H36" s="693"/>
      <c r="I36" s="694"/>
      <c r="J36" s="1113"/>
      <c r="K36" s="1114"/>
      <c r="L36" s="1109"/>
      <c r="M36" s="689"/>
      <c r="N36" s="629"/>
      <c r="O36" s="629"/>
      <c r="P36" s="638">
        <f t="shared" si="39"/>
        <v>0.03</v>
      </c>
      <c r="Q36" s="629"/>
      <c r="R36" s="673" t="str">
        <f t="shared" si="40"/>
        <v>-</v>
      </c>
      <c r="S36" s="649"/>
      <c r="T36" s="647"/>
      <c r="U36" s="827"/>
      <c r="V36" s="670"/>
      <c r="W36" s="798">
        <f t="shared" si="41"/>
        <v>0</v>
      </c>
      <c r="X36" s="656">
        <f>IF(OR(E36=0,F36=0),0,IF(E36='2. AWARDS'!F$7,VLOOKUP(F36,'2. AWARDS'!$C$9:$F$35,4,FALSE),IF(E36='2. AWARDS'!G$7,VLOOKUP(F36,'2. AWARDS'!$C$9:$G$35,5,FALSE),IF(E36='2. AWARDS'!H$7,VLOOKUP(F36,'2. AWARDS'!$C$9:$H$35,6,FALSE),IF(E36='2. AWARDS'!I$7,VLOOKUP(F36,'2. AWARDS'!$C$9:$I$35,7,FALSE),VLOOKUP(F36,'2. AWARDS'!$C$9:$J$35,8,FALSE))))))</f>
        <v>0</v>
      </c>
      <c r="Y36" s="980">
        <f>IF(OR(E36=0,F36=0),0,IF(AND(N36=0,E36='2. AWARDS'!F$7,VLOOKUP(F36,'2. AWARDS'!$C$9:$O$35,9,FALSE)&lt;&gt;0),"date missing",IF(AND(N36=0,E36='2. AWARDS'!G$7,VLOOKUP(F36,'2. AWARDS'!$C$9:$O$35,10,FALSE)&lt;&gt;0),"date missing",IF(AND(N36=0,E36='2. AWARDS'!H$7,VLOOKUP(F36,'2. AWARDS'!$C$9:$O$35,11,FALSE)&lt;&gt;0),"date missing",IF(AND(N36=0,E36='2. AWARDS'!I$7,VLOOKUP(F36,'2. AWARDS'!$C$9:$O$35,12,FALSE)&lt;&gt;0),"date missing",IF(AND(N36=0,E36='2. AWARDS'!J$7,VLOOKUP(F36,'2. AWARDS'!$C$9:$O$35,13,FALSE)&lt;&gt;0),"date missing",IF(N36=0,0,IF(OR(N36=MIN(O36,Q36),AND(N36&lt;O36,N36&lt;Q36,N36&gt;0)),IF(E36='2. AWARDS'!F$7,VLOOKUP(F36,'2. AWARDS'!$C$9:$O$35,9,FALSE),IF(E36='2. AWARDS'!G$7,VLOOKUP(F36,'2. AWARDS'!$C$9:$O$35,10,FALSE),IF(E36='2. AWARDS'!H$7,VLOOKUP(F36,'2. AWARDS'!$C$9:$O$35,11,FALSE),IF(E36='2. AWARDS'!I$7,VLOOKUP(F36,'2. AWARDS'!$C$9:$O$35,12,FALSE),IF(E36='2. AWARDS'!J$7,VLOOKUP(F36,'2. AWARDS'!$C$9:$O$35,13,FALSE)))))),IF(AND(N36&gt;O36,N36&lt;Q36),IF(E36='2. AWARDS'!F$7,(1+P36)*VLOOKUP(F36,'2. AWARDS'!$C$9:$O$35,9,FALSE),IF(E36='2. AWARDS'!G$7,(1+P36)*VLOOKUP(F36,'2. AWARDS'!$C$9:$O$35,10,FALSE),IF(E36='2. AWARDS'!H$7,(1+P36)*VLOOKUP(F36,'2. AWARDS'!$C$9:$O$35,11,FALSE),IF(E36='2. AWARDS'!I$7,(1+P36)*VLOOKUP(F36,'2. AWARDS'!$C$9:$O$35,12,FALSE),IF(E36='2. AWARDS'!J$7,(1+P36)*VLOOKUP(F36,'2. AWARDS'!$C$9:$O$35,13,FALSE)))))),IF(AND(N36&lt;O36,N36&gt;Q36),IF(E36='2. AWARDS'!F$7,(1+(R36/9))*VLOOKUP(F36,'2. AWARDS'!$C$9:$O$35,9,FALSE),IF(E36='2. AWARDS'!G$7,(1+(R36/9))*VLOOKUP(F36,'2. AWARDS'!$C$9:$O$35,10,FALSE),IF(E36='2. AWARDS'!H$7,(1+(R36/9))*VLOOKUP(F36,'2. AWARDS'!$C$9:$O$35,11,FALSE),IF(E36='2. AWARDS'!I$7,(1+(R36/9))*VLOOKUP(F36,'2. AWARDS'!$C$9:$O$35,12,FALSE),IF(E36='2. AWARDS'!J$7,(1+(R36/9))*VLOOKUP(F36,'2. AWARDS'!$C$9:$O$35,13,FALSE)))))),IF(OR(N36=MAX(O36,Q36),AND(N36&gt;O36,N36&gt;Q36)),IF(E36='2. AWARDS'!F$7,((1+(R36/9))*(1+P36))*VLOOKUP(F36,'2. AWARDS'!$C$9:$O$35,9,FALSE),IF(E36='2. AWARDS'!G$7,((1+(R36/9))*(1+P36))*VLOOKUP(F36,'2. AWARDS'!$C$9:$O$35,10,FALSE),IF(E36='2. AWARDS'!H$7,((1+(R36/9))*(1+P36))*VLOOKUP(F36,'2. AWARDS'!$C$9:$O$35,11,FALSE),IF(E36='2. AWARDS'!I$7,((1+(R36/9))*(1+P36))*VLOOKUP(F36,'2. AWARDS'!$C$9:$O$35,12,FALSE),IF(E36='2. AWARDS'!J$7,((1+(R36/9))*(1+P36))*VLOOKUP(F36,'2. AWARDS'!$C$9:$O$35,13,FALSE)))))),"?")))))))))))</f>
        <v>0</v>
      </c>
      <c r="Z36" s="1093" t="e">
        <f>IF(AND(E36='2. AWARDS'!F22,O36&gt;N36,O36&gt;Q36,VLOOKUP(F36,'2. AWARDS'!$C$9:$O$35,9,FALSE)&lt;&gt;0),VLOOKUP(F36,'2. AWARDS'!$C$9:$O$35,9,FALSE)*(1+P36)*(1+(R36/9)),IF(AND(E36='2. AWARDS'!F22,O36&gt;N36,O36&gt;Q36,VLOOKUP(F36,'2. AWARDS'!$C$9:$O$35,9,FALSE)=0),X36*(1+P36)*(1+(R36/9)),IF(AND(E36='2. AWARDS'!G22,O36&gt;N36,O36&gt;Q36,VLOOKUP(F36,'2. AWARDS'!$C$9:$O$35,10,FALSE)&lt;&gt;0),VLOOKUP(F36,'2. AWARDS'!$C$9:$O$35,10,FALSE)*(1+P36)*(1+(R36/9)),IF(AND(E36='2. AWARDS'!G22,O36&gt;N36,O36&gt;Q36,VLOOKUP(F36,'2. AWARDS'!$C$9:$O$35,10,FALSE)=0),X36*(1+P36)*(1+(R36/9)),IF(AND(E36='2. AWARDS'!H22,O36&gt;N36,O36&gt;Q36,VLOOKUP(F36,'2. AWARDS'!$C$9:$O$35,11,FALSE)&lt;&gt;0),VLOOKUP(F36,'2. AWARDS'!$C$9:$O$35,11,FALSE)*(1+P36)*(1+(R36/9)),IF(AND(E36='2. AWARDS'!H22,O36&gt;N36,O36&gt;Q36,VLOOKUP(F36,'2. AWARDS'!$C$9:$O$35,11,FALSE)=0),X36*(1+P36)*(1+(R36/9)),IF(AND(E36='2. AWARDS'!I22,O36&gt;N36,O36&gt;Q36,VLOOKUP(F36,'2. AWARDS'!$C$9:$O$35,12,FALSE)&lt;&gt;0),VLOOKUP(F36,'2. AWARDS'!$C$9:$O$35,12,FALSE)*(1+P36)*(1+(R36/9)),IF(AND(E36='2. AWARDS'!I22,O36&gt;N36,O36&gt;Q36,VLOOKUP(F36,'2. AWARDS'!$C$9:$O$35,12,FALSE)=0),X36*(1+P36)*(1+(R36/9)),IF(AND(E36='2. AWARDS'!J22,O36&gt;N36,O36&gt;Q36,VLOOKUP(F36,'2. AWARDS'!$C$9:$O$35,13,FALSE)&lt;&gt;0),VLOOKUP(F36,'2. AWARDS'!$C$9:$O$35,13,FALSE)*(1+P36)*(1+(R36/9)),IF(AND(E36='2. AWARDS'!J22,O36&gt;N36,O36&gt;Q36,VLOOKUP(F36,'2. AWARDS'!$C$9:$O$35,13,FALSE)=0),X36*(1+P36)*(1+(R36/9)),IF(AND(O36&lt;N36,O36&gt;Q36),X36*(1+P36)*(1+(R36/9)),IF(AND(E36='2. AWARDS'!F22,O36=MAX(N36,Q36),VLOOKUP(F36,'2. AWARDS'!$C$9:$O$35,9,FALSE)&lt;&gt;0),VLOOKUP(F36,'2. AWARDS'!$C$9:$O$35,9,FALSE)*(1+P36)*(1+(R36/9)),IF(AND(E36='2. AWARDS'!F22,O36=MAX(N36,Q36),VLOOKUP(F36,'2. AWARDS'!$C$9:$O$35,9,FALSE)=0),X36*(1+P36)*(1+(R36/9)),IF(AND(E36='2. AWARDS'!G22,O36=MAX(N36,Q36),VLOOKUP(F36,'2. AWARDS'!$C$9:$O$35,10,FALSE)&lt;&gt;0),VLOOKUP(F36,'2. AWARDS'!$C$9:$O$35,10,FALSE)*(1+P36)*(1+(R36/9)),IF(AND(E36='2. AWARDS'!G22,O36=MAX(N36,Q36),VLOOKUP(F36,'2. AWARDS'!$C$9:$O$35,10,FALSE)=0),X36*(1+P36)*(1+(R36/9)),IF(AND(E36='2. AWARDS'!H22,O36=MAX(N36,Q36),VLOOKUP(F36,'2. AWARDS'!$C$9:$O$35,11,FALSE)&lt;&gt;0),VLOOKUP(F36,'2. AWARDS'!$C$9:$O$35,11,FALSE)*(1+P36)*(1+(R36/9)),IF(AND(E36='2. AWARDS'!H22,O36=MAX(N36,Q36),VLOOKUP(F36,'2. AWARDS'!$C$9:$O$35,11,FALSE)=0),X36*(1+P36)*(1+(R36/9)),IF(AND(E36='2. AWARDS'!I22,O36=MAX(N36,Q36),VLOOKUP(F36,'2. AWARDS'!$C$9:$O$35,12,FALSE)&lt;&gt;0),VLOOKUP(F36,'2. AWARDS'!$C$9:$O$35,12,FALSE)*(1+P36)*(1+(R36/9)),IF(AND(E36='2. AWARDS'!I22,O36=MAX(N36,Q36),VLOOKUP(F36,'2. AWARDS'!$C$9:$O$35,12,FALSE)=0),X36*(1+P36)*(1+(R36/9)),IF(AND(E36='2. AWARDS'!J22,O36=MAX(N36,Q36),VLOOKUP(F36,'2. AWARDS'!$C$9:$O$35,13,FALSE)&lt;&gt;0),VLOOKUP(F36,'2. AWARDS'!$C$9:$O$35,13,FALSE)*(1+P36)*(1+(R36/9)),IF(AND(E36='2. AWARDS'!J22,O36=MAX(N36,Q36),VLOOKUP(F36,'2. AWARDS'!$C$9:$O$35,13,FALSE)=0),X36*(1+P36)*(1+(R36/9)),IF(AND(O36&lt;N36,O36&lt;Q36),X36*(1+P36),IF(AND(O36=N36,N36&lt;Q36,E36='2. AWARDS'!F22),VLOOKUP(F36,'2. AWARDS'!$C$9:$O$35,9,FALSE)*(1+P36),IF(AND(O36=N36,N36&lt;Q36,E36='2. AWARDS'!G22),VLOOKUP(F36,'2. AWARDS'!$C$9:$O$35,10,FALSE)*(1+P36),IF(AND(O36=N36,N36&lt;Q36,E36='2. AWARDS'!H22),VLOOKUP(F36,'2. AWARDS'!$C$9:$O$35,11,FALSE)*(1+P36),IF(AND(O36=N36,N36&lt;Q36,E36='2. AWARDS'!I22),VLOOKUP(F36,'2. AWARDS'!$C$9:$O$35,12,FALSE)*(1+P36),IF(AND(O36=N36,N36&lt;Q36,E36='2. AWARDS'!J22),VLOOKUP(F36,'2. AWARDS'!$C$9:$O$35,13,FALSE)*(1+P36),IF(AND(O36=Q36,N36&gt;Q36),X36*(1+P36)*(1+(R36/9)),IF(AND(E36='2. AWARDS'!F22,O36&gt;N36,O36&lt;Q36,VLOOKUP(F36,'2. AWARDS'!$C$9:$O$35,9,FALSE)&lt;&gt;0),VLOOKUP(F36,'2. AWARDS'!$C$9:$O$35,9,FALSE)*(1+P36),IF(AND(E36='2. AWARDS'!G22,O36&gt;N36,O36&lt;Q36,VLOOKUP(F36,'2. AWARDS'!$C$9:$O$35,10,FALSE)&lt;&gt;0),VLOOKUP(F36,'2. AWARDS'!$C$9:$O$35,10,FALSE)*(1+P36),IF(AND(E36='2. AWARDS'!H22,O36&gt;N36,O36&lt;Q36,VLOOKUP(F36,'2. AWARDS'!$C$9:$O$35,11,FALSE)&lt;&gt;0),VLOOKUP(F36,'2. AWARDS'!$C$9:$O$35,11,FALSE)*(1+P36),IF(AND(E36='2. AWARDS'!I22,O36&gt;N36,O36&lt;Q36,VLOOKUP(F36,'2. AWARDS'!$C$9:$O$35,12,FALSE)&lt;&gt;0),VLOOKUP(F36,'2. AWARDS'!$C$9:$O$35,12,FALSE)*(1+P36),IF(AND(E36='2. AWARDS'!J22,O36&gt;N36,O36&lt;Q36,VLOOKUP(F36,'2. AWARDS'!$C$9:$O$35,13,FALSE)&lt;&gt;0),VLOOKUP(F36,'2. AWARDS'!$C$9:$O$35,13,FALSE)*(1+P36),X36*(1+P36))))))))))))))))))))))))))))))))))</f>
        <v>#N/A</v>
      </c>
      <c r="AA36" s="661" t="e">
        <f t="shared" si="42"/>
        <v>#N/A</v>
      </c>
      <c r="AB36" s="683"/>
      <c r="AC36" s="774"/>
      <c r="AD36" s="774"/>
      <c r="AE36" s="777"/>
      <c r="AF36" s="781">
        <f t="shared" si="43"/>
        <v>0</v>
      </c>
      <c r="AG36" s="781" t="e">
        <f>HLOOKUP(E36,'2. AWARDS'!$F$7:$J$40,32,FALSE)/5*HLOOKUP(E36,'2. AWARDS'!$F$7:$J$40,31,FALSE)*MAX(W36:AA36)*M36*HLOOKUP(E36,'2. AWARDS'!$F$7:$J$40,34,FALSE)*(L36/(38*2))</f>
        <v>#N/A</v>
      </c>
      <c r="AH36" s="783" t="e">
        <f>((HLOOKUP(E36,'2. AWARDS'!$F$7:$J$42,36,FALSE)/HLOOKUP(E36,'2. AWARDS'!$F$7:$J$42,35,FALSE)*HLOOKUP(E36,'2. AWARDS'!$F$7:$J$45,39,FALSE))/(HLOOKUP(E36,'2. AWARDS'!$F$7:$J$45,31,FALSE)*2)*L36*M36*HLOOKUP(E36,'2. AWARDS'!$F$7:$J$45,31,FALSE)*MAX(W36:AA36))</f>
        <v>#N/A</v>
      </c>
      <c r="AI36" s="474"/>
      <c r="AJ36" s="804"/>
      <c r="AK36" s="801"/>
      <c r="AL36" s="801"/>
      <c r="AM36" s="802"/>
      <c r="AN36" s="1012"/>
      <c r="AO36" s="836">
        <f>IF(AJ36="YES",HLOOKUP(E36,'2. AWARDS'!$F$7:$J$38,32,FALSE)/5*HLOOKUP(E36,'2. AWARDS'!$F$7:$J$37,31,FALSE)*L36/(HLOOKUP(E36,'2. AWARDS'!$F$7:$J$37,31,FALSE)*2)*M36*MAX(W36:AA36)*(1+HLOOKUP(E36,'2. AWARDS'!$F$7:$J$43,37,FALSE))*(1-AM36),0)</f>
        <v>0</v>
      </c>
      <c r="AP36" s="836">
        <f>IF(AK36="YES",HLOOKUP(E36,'2. AWARDS'!$F$7:$J$39,33,FALSE)/5*HLOOKUP(E36,'2. AWARDS'!$F$7:$J$37,31,FALSE)*L36/(HLOOKUP(E36,'2. AWARDS'!$F$7:$J$37,31,FALSE)*2)*M36*MAX(W36:AA36)*(1+HLOOKUP(E36,'2. AWARDS'!$F$7:$J$43,37,FALSE))*(1-AM36),0)</f>
        <v>0</v>
      </c>
      <c r="AQ36" s="838">
        <f>IF(AL36="YES",HLOOKUP(E36,'2. AWARDS'!$F$7:$J$47,40,FALSE)/5*HLOOKUP(E36,'2. AWARDS'!$F$7:$J$37,31,FALSE)*L36/(HLOOKUP(E36,'2. AWARDS'!$F$7:$J$37,31,FALSE)*2)*M36*MAX(W36:AA36)*(1+HLOOKUP(E36,'2. AWARDS'!$F$7:$J$43,37,FALSE))*(1-AM36),0)</f>
        <v>0</v>
      </c>
      <c r="AR36" s="839">
        <f>(IF(AJ36="YES",HLOOKUP(E36,'2. AWARDS'!$F$7:$J$39,32,FALSE),0)+IF(AK36="YES",HLOOKUP(E36,'2. AWARDS'!$F$7:$J$39,33,FALSE),0)+IF(AL36="YES",HLOOKUP(E36,'2. AWARDS'!$F$7:$J$47,40,FALSE),0))*L36/76*7.6*AM36*AN36*M36</f>
        <v>0</v>
      </c>
      <c r="AS36" s="683"/>
      <c r="AT36" s="802">
        <f>'1. KEY DATA'!J$29</f>
        <v>0</v>
      </c>
      <c r="AU36" s="822">
        <f>'1. KEY DATA'!J$30</f>
        <v>0.09</v>
      </c>
      <c r="AV36" s="502"/>
      <c r="AW36" s="478">
        <f t="shared" si="44"/>
        <v>0</v>
      </c>
      <c r="AX36" s="502"/>
      <c r="AY36" s="998"/>
      <c r="AZ36" s="999"/>
      <c r="BA36" s="999"/>
      <c r="BB36" s="999"/>
      <c r="BC36" s="999"/>
      <c r="BD36" s="999"/>
      <c r="BE36" s="999"/>
      <c r="BF36" s="999"/>
      <c r="BG36" s="999"/>
      <c r="BH36" s="999"/>
      <c r="BI36" s="1392"/>
      <c r="BJ36" s="1393"/>
      <c r="BK36" s="1393"/>
      <c r="BL36" s="1394"/>
      <c r="BM36" s="301">
        <f t="shared" si="45"/>
        <v>1</v>
      </c>
      <c r="BO36" s="244">
        <f t="shared" si="46"/>
        <v>0</v>
      </c>
      <c r="BP36" s="245">
        <f t="shared" si="47"/>
        <v>0</v>
      </c>
      <c r="BQ36" s="245">
        <f t="shared" si="48"/>
        <v>0</v>
      </c>
      <c r="BR36" s="245">
        <f t="shared" si="49"/>
        <v>0</v>
      </c>
      <c r="BS36" s="245">
        <f t="shared" si="50"/>
        <v>0</v>
      </c>
      <c r="BT36" s="245">
        <f t="shared" si="51"/>
        <v>0</v>
      </c>
      <c r="BU36" s="245">
        <f t="shared" si="52"/>
        <v>0</v>
      </c>
      <c r="BV36" s="245">
        <f t="shared" si="53"/>
        <v>0</v>
      </c>
      <c r="BW36" s="245">
        <f t="shared" si="54"/>
        <v>0</v>
      </c>
      <c r="BX36" s="246">
        <f t="shared" si="55"/>
        <v>0</v>
      </c>
      <c r="BY36" s="1380"/>
      <c r="BZ36" s="1381"/>
      <c r="CA36" s="1381"/>
      <c r="CB36" s="1382"/>
    </row>
    <row r="37" spans="1:80">
      <c r="A37">
        <f t="shared" si="37"/>
        <v>17</v>
      </c>
      <c r="B37" s="217"/>
      <c r="C37" s="214"/>
      <c r="D37" s="699">
        <f t="shared" si="38"/>
        <v>0</v>
      </c>
      <c r="E37" s="626"/>
      <c r="F37" s="900"/>
      <c r="G37" s="702"/>
      <c r="H37" s="693"/>
      <c r="I37" s="694"/>
      <c r="J37" s="1113"/>
      <c r="K37" s="1114"/>
      <c r="L37" s="1109"/>
      <c r="M37" s="689"/>
      <c r="N37" s="629"/>
      <c r="O37" s="629"/>
      <c r="P37" s="638">
        <f t="shared" si="39"/>
        <v>0.03</v>
      </c>
      <c r="Q37" s="629"/>
      <c r="R37" s="673" t="str">
        <f t="shared" si="40"/>
        <v>-</v>
      </c>
      <c r="S37" s="649"/>
      <c r="T37" s="647"/>
      <c r="U37" s="827"/>
      <c r="V37" s="670"/>
      <c r="W37" s="798">
        <f t="shared" si="41"/>
        <v>0</v>
      </c>
      <c r="X37" s="656">
        <f>IF(OR(E37=0,F37=0),0,IF(E37='2. AWARDS'!F$7,VLOOKUP(F37,'2. AWARDS'!$C$9:$F$35,4,FALSE),IF(E37='2. AWARDS'!G$7,VLOOKUP(F37,'2. AWARDS'!$C$9:$G$35,5,FALSE),IF(E37='2. AWARDS'!H$7,VLOOKUP(F37,'2. AWARDS'!$C$9:$H$35,6,FALSE),IF(E37='2. AWARDS'!I$7,VLOOKUP(F37,'2. AWARDS'!$C$9:$I$35,7,FALSE),VLOOKUP(F37,'2. AWARDS'!$C$9:$J$35,8,FALSE))))))</f>
        <v>0</v>
      </c>
      <c r="Y37" s="980">
        <f>IF(OR(E37=0,F37=0),0,IF(AND(N37=0,E37='2. AWARDS'!F$7,VLOOKUP(F37,'2. AWARDS'!$C$9:$O$35,9,FALSE)&lt;&gt;0),"date missing",IF(AND(N37=0,E37='2. AWARDS'!G$7,VLOOKUP(F37,'2. AWARDS'!$C$9:$O$35,10,FALSE)&lt;&gt;0),"date missing",IF(AND(N37=0,E37='2. AWARDS'!H$7,VLOOKUP(F37,'2. AWARDS'!$C$9:$O$35,11,FALSE)&lt;&gt;0),"date missing",IF(AND(N37=0,E37='2. AWARDS'!I$7,VLOOKUP(F37,'2. AWARDS'!$C$9:$O$35,12,FALSE)&lt;&gt;0),"date missing",IF(AND(N37=0,E37='2. AWARDS'!J$7,VLOOKUP(F37,'2. AWARDS'!$C$9:$O$35,13,FALSE)&lt;&gt;0),"date missing",IF(N37=0,0,IF(OR(N37=MIN(O37,Q37),AND(N37&lt;O37,N37&lt;Q37,N37&gt;0)),IF(E37='2. AWARDS'!F$7,VLOOKUP(F37,'2. AWARDS'!$C$9:$O$35,9,FALSE),IF(E37='2. AWARDS'!G$7,VLOOKUP(F37,'2. AWARDS'!$C$9:$O$35,10,FALSE),IF(E37='2. AWARDS'!H$7,VLOOKUP(F37,'2. AWARDS'!$C$9:$O$35,11,FALSE),IF(E37='2. AWARDS'!I$7,VLOOKUP(F37,'2. AWARDS'!$C$9:$O$35,12,FALSE),IF(E37='2. AWARDS'!J$7,VLOOKUP(F37,'2. AWARDS'!$C$9:$O$35,13,FALSE)))))),IF(AND(N37&gt;O37,N37&lt;Q37),IF(E37='2. AWARDS'!F$7,(1+P37)*VLOOKUP(F37,'2. AWARDS'!$C$9:$O$35,9,FALSE),IF(E37='2. AWARDS'!G$7,(1+P37)*VLOOKUP(F37,'2. AWARDS'!$C$9:$O$35,10,FALSE),IF(E37='2. AWARDS'!H$7,(1+P37)*VLOOKUP(F37,'2. AWARDS'!$C$9:$O$35,11,FALSE),IF(E37='2. AWARDS'!I$7,(1+P37)*VLOOKUP(F37,'2. AWARDS'!$C$9:$O$35,12,FALSE),IF(E37='2. AWARDS'!J$7,(1+P37)*VLOOKUP(F37,'2. AWARDS'!$C$9:$O$35,13,FALSE)))))),IF(AND(N37&lt;O37,N37&gt;Q37),IF(E37='2. AWARDS'!F$7,(1+(R37/9))*VLOOKUP(F37,'2. AWARDS'!$C$9:$O$35,9,FALSE),IF(E37='2. AWARDS'!G$7,(1+(R37/9))*VLOOKUP(F37,'2. AWARDS'!$C$9:$O$35,10,FALSE),IF(E37='2. AWARDS'!H$7,(1+(R37/9))*VLOOKUP(F37,'2. AWARDS'!$C$9:$O$35,11,FALSE),IF(E37='2. AWARDS'!I$7,(1+(R37/9))*VLOOKUP(F37,'2. AWARDS'!$C$9:$O$35,12,FALSE),IF(E37='2. AWARDS'!J$7,(1+(R37/9))*VLOOKUP(F37,'2. AWARDS'!$C$9:$O$35,13,FALSE)))))),IF(OR(N37=MAX(O37,Q37),AND(N37&gt;O37,N37&gt;Q37)),IF(E37='2. AWARDS'!F$7,((1+(R37/9))*(1+P37))*VLOOKUP(F37,'2. AWARDS'!$C$9:$O$35,9,FALSE),IF(E37='2. AWARDS'!G$7,((1+(R37/9))*(1+P37))*VLOOKUP(F37,'2. AWARDS'!$C$9:$O$35,10,FALSE),IF(E37='2. AWARDS'!H$7,((1+(R37/9))*(1+P37))*VLOOKUP(F37,'2. AWARDS'!$C$9:$O$35,11,FALSE),IF(E37='2. AWARDS'!I$7,((1+(R37/9))*(1+P37))*VLOOKUP(F37,'2. AWARDS'!$C$9:$O$35,12,FALSE),IF(E37='2. AWARDS'!J$7,((1+(R37/9))*(1+P37))*VLOOKUP(F37,'2. AWARDS'!$C$9:$O$35,13,FALSE)))))),"?")))))))))))</f>
        <v>0</v>
      </c>
      <c r="Z37" s="1093" t="e">
        <f>IF(AND(E37='2. AWARDS'!F23,O37&gt;N37,O37&gt;Q37,VLOOKUP(F37,'2. AWARDS'!$C$9:$O$35,9,FALSE)&lt;&gt;0),VLOOKUP(F37,'2. AWARDS'!$C$9:$O$35,9,FALSE)*(1+P37)*(1+(R37/9)),IF(AND(E37='2. AWARDS'!F23,O37&gt;N37,O37&gt;Q37,VLOOKUP(F37,'2. AWARDS'!$C$9:$O$35,9,FALSE)=0),X37*(1+P37)*(1+(R37/9)),IF(AND(E37='2. AWARDS'!G23,O37&gt;N37,O37&gt;Q37,VLOOKUP(F37,'2. AWARDS'!$C$9:$O$35,10,FALSE)&lt;&gt;0),VLOOKUP(F37,'2. AWARDS'!$C$9:$O$35,10,FALSE)*(1+P37)*(1+(R37/9)),IF(AND(E37='2. AWARDS'!G23,O37&gt;N37,O37&gt;Q37,VLOOKUP(F37,'2. AWARDS'!$C$9:$O$35,10,FALSE)=0),X37*(1+P37)*(1+(R37/9)),IF(AND(E37='2. AWARDS'!H23,O37&gt;N37,O37&gt;Q37,VLOOKUP(F37,'2. AWARDS'!$C$9:$O$35,11,FALSE)&lt;&gt;0),VLOOKUP(F37,'2. AWARDS'!$C$9:$O$35,11,FALSE)*(1+P37)*(1+(R37/9)),IF(AND(E37='2. AWARDS'!H23,O37&gt;N37,O37&gt;Q37,VLOOKUP(F37,'2. AWARDS'!$C$9:$O$35,11,FALSE)=0),X37*(1+P37)*(1+(R37/9)),IF(AND(E37='2. AWARDS'!I23,O37&gt;N37,O37&gt;Q37,VLOOKUP(F37,'2. AWARDS'!$C$9:$O$35,12,FALSE)&lt;&gt;0),VLOOKUP(F37,'2. AWARDS'!$C$9:$O$35,12,FALSE)*(1+P37)*(1+(R37/9)),IF(AND(E37='2. AWARDS'!I23,O37&gt;N37,O37&gt;Q37,VLOOKUP(F37,'2. AWARDS'!$C$9:$O$35,12,FALSE)=0),X37*(1+P37)*(1+(R37/9)),IF(AND(E37='2. AWARDS'!J23,O37&gt;N37,O37&gt;Q37,VLOOKUP(F37,'2. AWARDS'!$C$9:$O$35,13,FALSE)&lt;&gt;0),VLOOKUP(F37,'2. AWARDS'!$C$9:$O$35,13,FALSE)*(1+P37)*(1+(R37/9)),IF(AND(E37='2. AWARDS'!J23,O37&gt;N37,O37&gt;Q37,VLOOKUP(F37,'2. AWARDS'!$C$9:$O$35,13,FALSE)=0),X37*(1+P37)*(1+(R37/9)),IF(AND(O37&lt;N37,O37&gt;Q37),X37*(1+P37)*(1+(R37/9)),IF(AND(E37='2. AWARDS'!F23,O37=MAX(N37,Q37),VLOOKUP(F37,'2. AWARDS'!$C$9:$O$35,9,FALSE)&lt;&gt;0),VLOOKUP(F37,'2. AWARDS'!$C$9:$O$35,9,FALSE)*(1+P37)*(1+(R37/9)),IF(AND(E37='2. AWARDS'!F23,O37=MAX(N37,Q37),VLOOKUP(F37,'2. AWARDS'!$C$9:$O$35,9,FALSE)=0),X37*(1+P37)*(1+(R37/9)),IF(AND(E37='2. AWARDS'!G23,O37=MAX(N37,Q37),VLOOKUP(F37,'2. AWARDS'!$C$9:$O$35,10,FALSE)&lt;&gt;0),VLOOKUP(F37,'2. AWARDS'!$C$9:$O$35,10,FALSE)*(1+P37)*(1+(R37/9)),IF(AND(E37='2. AWARDS'!G23,O37=MAX(N37,Q37),VLOOKUP(F37,'2. AWARDS'!$C$9:$O$35,10,FALSE)=0),X37*(1+P37)*(1+(R37/9)),IF(AND(E37='2. AWARDS'!H23,O37=MAX(N37,Q37),VLOOKUP(F37,'2. AWARDS'!$C$9:$O$35,11,FALSE)&lt;&gt;0),VLOOKUP(F37,'2. AWARDS'!$C$9:$O$35,11,FALSE)*(1+P37)*(1+(R37/9)),IF(AND(E37='2. AWARDS'!H23,O37=MAX(N37,Q37),VLOOKUP(F37,'2. AWARDS'!$C$9:$O$35,11,FALSE)=0),X37*(1+P37)*(1+(R37/9)),IF(AND(E37='2. AWARDS'!I23,O37=MAX(N37,Q37),VLOOKUP(F37,'2. AWARDS'!$C$9:$O$35,12,FALSE)&lt;&gt;0),VLOOKUP(F37,'2. AWARDS'!$C$9:$O$35,12,FALSE)*(1+P37)*(1+(R37/9)),IF(AND(E37='2. AWARDS'!I23,O37=MAX(N37,Q37),VLOOKUP(F37,'2. AWARDS'!$C$9:$O$35,12,FALSE)=0),X37*(1+P37)*(1+(R37/9)),IF(AND(E37='2. AWARDS'!J23,O37=MAX(N37,Q37),VLOOKUP(F37,'2. AWARDS'!$C$9:$O$35,13,FALSE)&lt;&gt;0),VLOOKUP(F37,'2. AWARDS'!$C$9:$O$35,13,FALSE)*(1+P37)*(1+(R37/9)),IF(AND(E37='2. AWARDS'!J23,O37=MAX(N37,Q37),VLOOKUP(F37,'2. AWARDS'!$C$9:$O$35,13,FALSE)=0),X37*(1+P37)*(1+(R37/9)),IF(AND(O37&lt;N37,O37&lt;Q37),X37*(1+P37),IF(AND(O37=N37,N37&lt;Q37,E37='2. AWARDS'!F23),VLOOKUP(F37,'2. AWARDS'!$C$9:$O$35,9,FALSE)*(1+P37),IF(AND(O37=N37,N37&lt;Q37,E37='2. AWARDS'!G23),VLOOKUP(F37,'2. AWARDS'!$C$9:$O$35,10,FALSE)*(1+P37),IF(AND(O37=N37,N37&lt;Q37,E37='2. AWARDS'!H23),VLOOKUP(F37,'2. AWARDS'!$C$9:$O$35,11,FALSE)*(1+P37),IF(AND(O37=N37,N37&lt;Q37,E37='2. AWARDS'!I23),VLOOKUP(F37,'2. AWARDS'!$C$9:$O$35,12,FALSE)*(1+P37),IF(AND(O37=N37,N37&lt;Q37,E37='2. AWARDS'!J23),VLOOKUP(F37,'2. AWARDS'!$C$9:$O$35,13,FALSE)*(1+P37),IF(AND(O37=Q37,N37&gt;Q37),X37*(1+P37)*(1+(R37/9)),IF(AND(E37='2. AWARDS'!F23,O37&gt;N37,O37&lt;Q37,VLOOKUP(F37,'2. AWARDS'!$C$9:$O$35,9,FALSE)&lt;&gt;0),VLOOKUP(F37,'2. AWARDS'!$C$9:$O$35,9,FALSE)*(1+P37),IF(AND(E37='2. AWARDS'!G23,O37&gt;N37,O37&lt;Q37,VLOOKUP(F37,'2. AWARDS'!$C$9:$O$35,10,FALSE)&lt;&gt;0),VLOOKUP(F37,'2. AWARDS'!$C$9:$O$35,10,FALSE)*(1+P37),IF(AND(E37='2. AWARDS'!H23,O37&gt;N37,O37&lt;Q37,VLOOKUP(F37,'2. AWARDS'!$C$9:$O$35,11,FALSE)&lt;&gt;0),VLOOKUP(F37,'2. AWARDS'!$C$9:$O$35,11,FALSE)*(1+P37),IF(AND(E37='2. AWARDS'!I23,O37&gt;N37,O37&lt;Q37,VLOOKUP(F37,'2. AWARDS'!$C$9:$O$35,12,FALSE)&lt;&gt;0),VLOOKUP(F37,'2. AWARDS'!$C$9:$O$35,12,FALSE)*(1+P37),IF(AND(E37='2. AWARDS'!J23,O37&gt;N37,O37&lt;Q37,VLOOKUP(F37,'2. AWARDS'!$C$9:$O$35,13,FALSE)&lt;&gt;0),VLOOKUP(F37,'2. AWARDS'!$C$9:$O$35,13,FALSE)*(1+P37),X37*(1+P37))))))))))))))))))))))))))))))))))</f>
        <v>#N/A</v>
      </c>
      <c r="AA37" s="661" t="e">
        <f t="shared" si="42"/>
        <v>#N/A</v>
      </c>
      <c r="AB37" s="683"/>
      <c r="AC37" s="774"/>
      <c r="AD37" s="774"/>
      <c r="AE37" s="777"/>
      <c r="AF37" s="781">
        <f t="shared" si="43"/>
        <v>0</v>
      </c>
      <c r="AG37" s="781" t="e">
        <f>HLOOKUP(E37,'2. AWARDS'!$F$7:$J$40,32,FALSE)/5*HLOOKUP(E37,'2. AWARDS'!$F$7:$J$40,31,FALSE)*MAX(W37:AA37)*M37*HLOOKUP(E37,'2. AWARDS'!$F$7:$J$40,34,FALSE)*(L37/(38*2))</f>
        <v>#N/A</v>
      </c>
      <c r="AH37" s="783" t="e">
        <f>((HLOOKUP(E37,'2. AWARDS'!$F$7:$J$42,36,FALSE)/HLOOKUP(E37,'2. AWARDS'!$F$7:$J$42,35,FALSE)*HLOOKUP(E37,'2. AWARDS'!$F$7:$J$45,39,FALSE))/(HLOOKUP(E37,'2. AWARDS'!$F$7:$J$45,31,FALSE)*2)*L37*M37*HLOOKUP(E37,'2. AWARDS'!$F$7:$J$45,31,FALSE)*MAX(W37:AA37))</f>
        <v>#N/A</v>
      </c>
      <c r="AI37" s="474"/>
      <c r="AJ37" s="804"/>
      <c r="AK37" s="801"/>
      <c r="AL37" s="801"/>
      <c r="AM37" s="802"/>
      <c r="AN37" s="1012"/>
      <c r="AO37" s="836">
        <f>IF(AJ37="YES",HLOOKUP(E37,'2. AWARDS'!$F$7:$J$38,32,FALSE)/5*HLOOKUP(E37,'2. AWARDS'!$F$7:$J$37,31,FALSE)*L37/(HLOOKUP(E37,'2. AWARDS'!$F$7:$J$37,31,FALSE)*2)*M37*MAX(W37:AA37)*(1+HLOOKUP(E37,'2. AWARDS'!$F$7:$J$43,37,FALSE))*(1-AM37),0)</f>
        <v>0</v>
      </c>
      <c r="AP37" s="836">
        <f>IF(AK37="YES",HLOOKUP(E37,'2. AWARDS'!$F$7:$J$39,33,FALSE)/5*HLOOKUP(E37,'2. AWARDS'!$F$7:$J$37,31,FALSE)*L37/(HLOOKUP(E37,'2. AWARDS'!$F$7:$J$37,31,FALSE)*2)*M37*MAX(W37:AA37)*(1+HLOOKUP(E37,'2. AWARDS'!$F$7:$J$43,37,FALSE))*(1-AM37),0)</f>
        <v>0</v>
      </c>
      <c r="AQ37" s="838">
        <f>IF(AL37="YES",HLOOKUP(E37,'2. AWARDS'!$F$7:$J$47,40,FALSE)/5*HLOOKUP(E37,'2. AWARDS'!$F$7:$J$37,31,FALSE)*L37/(HLOOKUP(E37,'2. AWARDS'!$F$7:$J$37,31,FALSE)*2)*M37*MAX(W37:AA37)*(1+HLOOKUP(E37,'2. AWARDS'!$F$7:$J$43,37,FALSE))*(1-AM37),0)</f>
        <v>0</v>
      </c>
      <c r="AR37" s="839">
        <f>(IF(AJ37="YES",HLOOKUP(E37,'2. AWARDS'!$F$7:$J$39,32,FALSE),0)+IF(AK37="YES",HLOOKUP(E37,'2. AWARDS'!$F$7:$J$39,33,FALSE),0)+IF(AL37="YES",HLOOKUP(E37,'2. AWARDS'!$F$7:$J$47,40,FALSE),0))*L37/76*7.6*AM37*AN37*M37</f>
        <v>0</v>
      </c>
      <c r="AS37" s="683"/>
      <c r="AT37" s="802">
        <f>'1. KEY DATA'!J$29</f>
        <v>0</v>
      </c>
      <c r="AU37" s="822">
        <f>'1. KEY DATA'!J$30</f>
        <v>0.09</v>
      </c>
      <c r="AV37" s="502"/>
      <c r="AW37" s="478">
        <f t="shared" si="44"/>
        <v>0</v>
      </c>
      <c r="AX37" s="502"/>
      <c r="AY37" s="998"/>
      <c r="AZ37" s="999"/>
      <c r="BA37" s="999"/>
      <c r="BB37" s="999"/>
      <c r="BC37" s="999"/>
      <c r="BD37" s="999"/>
      <c r="BE37" s="999"/>
      <c r="BF37" s="999"/>
      <c r="BG37" s="999"/>
      <c r="BH37" s="999"/>
      <c r="BI37" s="1392"/>
      <c r="BJ37" s="1393"/>
      <c r="BK37" s="1393"/>
      <c r="BL37" s="1394"/>
      <c r="BM37" s="301">
        <f t="shared" si="45"/>
        <v>1</v>
      </c>
      <c r="BO37" s="244">
        <f t="shared" si="46"/>
        <v>0</v>
      </c>
      <c r="BP37" s="245">
        <f t="shared" si="47"/>
        <v>0</v>
      </c>
      <c r="BQ37" s="245">
        <f t="shared" si="48"/>
        <v>0</v>
      </c>
      <c r="BR37" s="245">
        <f t="shared" si="49"/>
        <v>0</v>
      </c>
      <c r="BS37" s="245">
        <f t="shared" si="50"/>
        <v>0</v>
      </c>
      <c r="BT37" s="245">
        <f t="shared" si="51"/>
        <v>0</v>
      </c>
      <c r="BU37" s="245">
        <f t="shared" si="52"/>
        <v>0</v>
      </c>
      <c r="BV37" s="245">
        <f t="shared" si="53"/>
        <v>0</v>
      </c>
      <c r="BW37" s="245">
        <f t="shared" si="54"/>
        <v>0</v>
      </c>
      <c r="BX37" s="246">
        <f t="shared" si="55"/>
        <v>0</v>
      </c>
      <c r="BY37" s="1380"/>
      <c r="BZ37" s="1381"/>
      <c r="CA37" s="1381"/>
      <c r="CB37" s="1382"/>
    </row>
    <row r="38" spans="1:80">
      <c r="A38">
        <f t="shared" si="37"/>
        <v>18</v>
      </c>
      <c r="B38" s="217"/>
      <c r="C38" s="214"/>
      <c r="D38" s="699">
        <f t="shared" si="38"/>
        <v>0</v>
      </c>
      <c r="E38" s="626"/>
      <c r="F38" s="900"/>
      <c r="G38" s="702"/>
      <c r="H38" s="693"/>
      <c r="I38" s="694"/>
      <c r="J38" s="1113"/>
      <c r="K38" s="1114"/>
      <c r="L38" s="1109"/>
      <c r="M38" s="689"/>
      <c r="N38" s="629"/>
      <c r="O38" s="629"/>
      <c r="P38" s="638">
        <f t="shared" si="39"/>
        <v>0.03</v>
      </c>
      <c r="Q38" s="629"/>
      <c r="R38" s="673" t="str">
        <f t="shared" si="40"/>
        <v>-</v>
      </c>
      <c r="S38" s="649"/>
      <c r="T38" s="647"/>
      <c r="U38" s="827"/>
      <c r="V38" s="670"/>
      <c r="W38" s="798">
        <f t="shared" si="41"/>
        <v>0</v>
      </c>
      <c r="X38" s="656">
        <f>IF(OR(E38=0,F38=0),0,IF(E38='2. AWARDS'!F$7,VLOOKUP(F38,'2. AWARDS'!$C$9:$F$35,4,FALSE),IF(E38='2. AWARDS'!G$7,VLOOKUP(F38,'2. AWARDS'!$C$9:$G$35,5,FALSE),IF(E38='2. AWARDS'!H$7,VLOOKUP(F38,'2. AWARDS'!$C$9:$H$35,6,FALSE),IF(E38='2. AWARDS'!I$7,VLOOKUP(F38,'2. AWARDS'!$C$9:$I$35,7,FALSE),VLOOKUP(F38,'2. AWARDS'!$C$9:$J$35,8,FALSE))))))</f>
        <v>0</v>
      </c>
      <c r="Y38" s="980">
        <f>IF(OR(E38=0,F38=0),0,IF(AND(N38=0,E38='2. AWARDS'!F$7,VLOOKUP(F38,'2. AWARDS'!$C$9:$O$35,9,FALSE)&lt;&gt;0),"date missing",IF(AND(N38=0,E38='2. AWARDS'!G$7,VLOOKUP(F38,'2. AWARDS'!$C$9:$O$35,10,FALSE)&lt;&gt;0),"date missing",IF(AND(N38=0,E38='2. AWARDS'!H$7,VLOOKUP(F38,'2. AWARDS'!$C$9:$O$35,11,FALSE)&lt;&gt;0),"date missing",IF(AND(N38=0,E38='2. AWARDS'!I$7,VLOOKUP(F38,'2. AWARDS'!$C$9:$O$35,12,FALSE)&lt;&gt;0),"date missing",IF(AND(N38=0,E38='2. AWARDS'!J$7,VLOOKUP(F38,'2. AWARDS'!$C$9:$O$35,13,FALSE)&lt;&gt;0),"date missing",IF(N38=0,0,IF(OR(N38=MIN(O38,Q38),AND(N38&lt;O38,N38&lt;Q38,N38&gt;0)),IF(E38='2. AWARDS'!F$7,VLOOKUP(F38,'2. AWARDS'!$C$9:$O$35,9,FALSE),IF(E38='2. AWARDS'!G$7,VLOOKUP(F38,'2. AWARDS'!$C$9:$O$35,10,FALSE),IF(E38='2. AWARDS'!H$7,VLOOKUP(F38,'2. AWARDS'!$C$9:$O$35,11,FALSE),IF(E38='2. AWARDS'!I$7,VLOOKUP(F38,'2. AWARDS'!$C$9:$O$35,12,FALSE),IF(E38='2. AWARDS'!J$7,VLOOKUP(F38,'2. AWARDS'!$C$9:$O$35,13,FALSE)))))),IF(AND(N38&gt;O38,N38&lt;Q38),IF(E38='2. AWARDS'!F$7,(1+P38)*VLOOKUP(F38,'2. AWARDS'!$C$9:$O$35,9,FALSE),IF(E38='2. AWARDS'!G$7,(1+P38)*VLOOKUP(F38,'2. AWARDS'!$C$9:$O$35,10,FALSE),IF(E38='2. AWARDS'!H$7,(1+P38)*VLOOKUP(F38,'2. AWARDS'!$C$9:$O$35,11,FALSE),IF(E38='2. AWARDS'!I$7,(1+P38)*VLOOKUP(F38,'2. AWARDS'!$C$9:$O$35,12,FALSE),IF(E38='2. AWARDS'!J$7,(1+P38)*VLOOKUP(F38,'2. AWARDS'!$C$9:$O$35,13,FALSE)))))),IF(AND(N38&lt;O38,N38&gt;Q38),IF(E38='2. AWARDS'!F$7,(1+(R38/9))*VLOOKUP(F38,'2. AWARDS'!$C$9:$O$35,9,FALSE),IF(E38='2. AWARDS'!G$7,(1+(R38/9))*VLOOKUP(F38,'2. AWARDS'!$C$9:$O$35,10,FALSE),IF(E38='2. AWARDS'!H$7,(1+(R38/9))*VLOOKUP(F38,'2. AWARDS'!$C$9:$O$35,11,FALSE),IF(E38='2. AWARDS'!I$7,(1+(R38/9))*VLOOKUP(F38,'2. AWARDS'!$C$9:$O$35,12,FALSE),IF(E38='2. AWARDS'!J$7,(1+(R38/9))*VLOOKUP(F38,'2. AWARDS'!$C$9:$O$35,13,FALSE)))))),IF(OR(N38=MAX(O38,Q38),AND(N38&gt;O38,N38&gt;Q38)),IF(E38='2. AWARDS'!F$7,((1+(R38/9))*(1+P38))*VLOOKUP(F38,'2. AWARDS'!$C$9:$O$35,9,FALSE),IF(E38='2. AWARDS'!G$7,((1+(R38/9))*(1+P38))*VLOOKUP(F38,'2. AWARDS'!$C$9:$O$35,10,FALSE),IF(E38='2. AWARDS'!H$7,((1+(R38/9))*(1+P38))*VLOOKUP(F38,'2. AWARDS'!$C$9:$O$35,11,FALSE),IF(E38='2. AWARDS'!I$7,((1+(R38/9))*(1+P38))*VLOOKUP(F38,'2. AWARDS'!$C$9:$O$35,12,FALSE),IF(E38='2. AWARDS'!J$7,((1+(R38/9))*(1+P38))*VLOOKUP(F38,'2. AWARDS'!$C$9:$O$35,13,FALSE)))))),"?")))))))))))</f>
        <v>0</v>
      </c>
      <c r="Z38" s="1093" t="e">
        <f>IF(AND(E38='2. AWARDS'!F24,O38&gt;N38,O38&gt;Q38,VLOOKUP(F38,'2. AWARDS'!$C$9:$O$35,9,FALSE)&lt;&gt;0),VLOOKUP(F38,'2. AWARDS'!$C$9:$O$35,9,FALSE)*(1+P38)*(1+(R38/9)),IF(AND(E38='2. AWARDS'!F24,O38&gt;N38,O38&gt;Q38,VLOOKUP(F38,'2. AWARDS'!$C$9:$O$35,9,FALSE)=0),X38*(1+P38)*(1+(R38/9)),IF(AND(E38='2. AWARDS'!G24,O38&gt;N38,O38&gt;Q38,VLOOKUP(F38,'2. AWARDS'!$C$9:$O$35,10,FALSE)&lt;&gt;0),VLOOKUP(F38,'2. AWARDS'!$C$9:$O$35,10,FALSE)*(1+P38)*(1+(R38/9)),IF(AND(E38='2. AWARDS'!G24,O38&gt;N38,O38&gt;Q38,VLOOKUP(F38,'2. AWARDS'!$C$9:$O$35,10,FALSE)=0),X38*(1+P38)*(1+(R38/9)),IF(AND(E38='2. AWARDS'!H24,O38&gt;N38,O38&gt;Q38,VLOOKUP(F38,'2. AWARDS'!$C$9:$O$35,11,FALSE)&lt;&gt;0),VLOOKUP(F38,'2. AWARDS'!$C$9:$O$35,11,FALSE)*(1+P38)*(1+(R38/9)),IF(AND(E38='2. AWARDS'!H24,O38&gt;N38,O38&gt;Q38,VLOOKUP(F38,'2. AWARDS'!$C$9:$O$35,11,FALSE)=0),X38*(1+P38)*(1+(R38/9)),IF(AND(E38='2. AWARDS'!I24,O38&gt;N38,O38&gt;Q38,VLOOKUP(F38,'2. AWARDS'!$C$9:$O$35,12,FALSE)&lt;&gt;0),VLOOKUP(F38,'2. AWARDS'!$C$9:$O$35,12,FALSE)*(1+P38)*(1+(R38/9)),IF(AND(E38='2. AWARDS'!I24,O38&gt;N38,O38&gt;Q38,VLOOKUP(F38,'2. AWARDS'!$C$9:$O$35,12,FALSE)=0),X38*(1+P38)*(1+(R38/9)),IF(AND(E38='2. AWARDS'!J24,O38&gt;N38,O38&gt;Q38,VLOOKUP(F38,'2. AWARDS'!$C$9:$O$35,13,FALSE)&lt;&gt;0),VLOOKUP(F38,'2. AWARDS'!$C$9:$O$35,13,FALSE)*(1+P38)*(1+(R38/9)),IF(AND(E38='2. AWARDS'!J24,O38&gt;N38,O38&gt;Q38,VLOOKUP(F38,'2. AWARDS'!$C$9:$O$35,13,FALSE)=0),X38*(1+P38)*(1+(R38/9)),IF(AND(O38&lt;N38,O38&gt;Q38),X38*(1+P38)*(1+(R38/9)),IF(AND(E38='2. AWARDS'!F24,O38=MAX(N38,Q38),VLOOKUP(F38,'2. AWARDS'!$C$9:$O$35,9,FALSE)&lt;&gt;0),VLOOKUP(F38,'2. AWARDS'!$C$9:$O$35,9,FALSE)*(1+P38)*(1+(R38/9)),IF(AND(E38='2. AWARDS'!F24,O38=MAX(N38,Q38),VLOOKUP(F38,'2. AWARDS'!$C$9:$O$35,9,FALSE)=0),X38*(1+P38)*(1+(R38/9)),IF(AND(E38='2. AWARDS'!G24,O38=MAX(N38,Q38),VLOOKUP(F38,'2. AWARDS'!$C$9:$O$35,10,FALSE)&lt;&gt;0),VLOOKUP(F38,'2. AWARDS'!$C$9:$O$35,10,FALSE)*(1+P38)*(1+(R38/9)),IF(AND(E38='2. AWARDS'!G24,O38=MAX(N38,Q38),VLOOKUP(F38,'2. AWARDS'!$C$9:$O$35,10,FALSE)=0),X38*(1+P38)*(1+(R38/9)),IF(AND(E38='2. AWARDS'!H24,O38=MAX(N38,Q38),VLOOKUP(F38,'2. AWARDS'!$C$9:$O$35,11,FALSE)&lt;&gt;0),VLOOKUP(F38,'2. AWARDS'!$C$9:$O$35,11,FALSE)*(1+P38)*(1+(R38/9)),IF(AND(E38='2. AWARDS'!H24,O38=MAX(N38,Q38),VLOOKUP(F38,'2. AWARDS'!$C$9:$O$35,11,FALSE)=0),X38*(1+P38)*(1+(R38/9)),IF(AND(E38='2. AWARDS'!I24,O38=MAX(N38,Q38),VLOOKUP(F38,'2. AWARDS'!$C$9:$O$35,12,FALSE)&lt;&gt;0),VLOOKUP(F38,'2. AWARDS'!$C$9:$O$35,12,FALSE)*(1+P38)*(1+(R38/9)),IF(AND(E38='2. AWARDS'!I24,O38=MAX(N38,Q38),VLOOKUP(F38,'2. AWARDS'!$C$9:$O$35,12,FALSE)=0),X38*(1+P38)*(1+(R38/9)),IF(AND(E38='2. AWARDS'!J24,O38=MAX(N38,Q38),VLOOKUP(F38,'2. AWARDS'!$C$9:$O$35,13,FALSE)&lt;&gt;0),VLOOKUP(F38,'2. AWARDS'!$C$9:$O$35,13,FALSE)*(1+P38)*(1+(R38/9)),IF(AND(E38='2. AWARDS'!J24,O38=MAX(N38,Q38),VLOOKUP(F38,'2. AWARDS'!$C$9:$O$35,13,FALSE)=0),X38*(1+P38)*(1+(R38/9)),IF(AND(O38&lt;N38,O38&lt;Q38),X38*(1+P38),IF(AND(O38=N38,N38&lt;Q38,E38='2. AWARDS'!F24),VLOOKUP(F38,'2. AWARDS'!$C$9:$O$35,9,FALSE)*(1+P38),IF(AND(O38=N38,N38&lt;Q38,E38='2. AWARDS'!G24),VLOOKUP(F38,'2. AWARDS'!$C$9:$O$35,10,FALSE)*(1+P38),IF(AND(O38=N38,N38&lt;Q38,E38='2. AWARDS'!H24),VLOOKUP(F38,'2. AWARDS'!$C$9:$O$35,11,FALSE)*(1+P38),IF(AND(O38=N38,N38&lt;Q38,E38='2. AWARDS'!I24),VLOOKUP(F38,'2. AWARDS'!$C$9:$O$35,12,FALSE)*(1+P38),IF(AND(O38=N38,N38&lt;Q38,E38='2. AWARDS'!J24),VLOOKUP(F38,'2. AWARDS'!$C$9:$O$35,13,FALSE)*(1+P38),IF(AND(O38=Q38,N38&gt;Q38),X38*(1+P38)*(1+(R38/9)),IF(AND(E38='2. AWARDS'!F24,O38&gt;N38,O38&lt;Q38,VLOOKUP(F38,'2. AWARDS'!$C$9:$O$35,9,FALSE)&lt;&gt;0),VLOOKUP(F38,'2. AWARDS'!$C$9:$O$35,9,FALSE)*(1+P38),IF(AND(E38='2. AWARDS'!G24,O38&gt;N38,O38&lt;Q38,VLOOKUP(F38,'2. AWARDS'!$C$9:$O$35,10,FALSE)&lt;&gt;0),VLOOKUP(F38,'2. AWARDS'!$C$9:$O$35,10,FALSE)*(1+P38),IF(AND(E38='2. AWARDS'!H24,O38&gt;N38,O38&lt;Q38,VLOOKUP(F38,'2. AWARDS'!$C$9:$O$35,11,FALSE)&lt;&gt;0),VLOOKUP(F38,'2. AWARDS'!$C$9:$O$35,11,FALSE)*(1+P38),IF(AND(E38='2. AWARDS'!I24,O38&gt;N38,O38&lt;Q38,VLOOKUP(F38,'2. AWARDS'!$C$9:$O$35,12,FALSE)&lt;&gt;0),VLOOKUP(F38,'2. AWARDS'!$C$9:$O$35,12,FALSE)*(1+P38),IF(AND(E38='2. AWARDS'!J24,O38&gt;N38,O38&lt;Q38,VLOOKUP(F38,'2. AWARDS'!$C$9:$O$35,13,FALSE)&lt;&gt;0),VLOOKUP(F38,'2. AWARDS'!$C$9:$O$35,13,FALSE)*(1+P38),X38*(1+P38))))))))))))))))))))))))))))))))))</f>
        <v>#N/A</v>
      </c>
      <c r="AA38" s="661" t="e">
        <f t="shared" si="42"/>
        <v>#N/A</v>
      </c>
      <c r="AB38" s="683"/>
      <c r="AC38" s="774"/>
      <c r="AD38" s="774"/>
      <c r="AE38" s="777"/>
      <c r="AF38" s="781">
        <f t="shared" si="43"/>
        <v>0</v>
      </c>
      <c r="AG38" s="781" t="e">
        <f>HLOOKUP(E38,'2. AWARDS'!$F$7:$J$40,32,FALSE)/5*HLOOKUP(E38,'2. AWARDS'!$F$7:$J$40,31,FALSE)*MAX(W38:AA38)*M38*HLOOKUP(E38,'2. AWARDS'!$F$7:$J$40,34,FALSE)*(L38/(38*2))</f>
        <v>#N/A</v>
      </c>
      <c r="AH38" s="783" t="e">
        <f>((HLOOKUP(E38,'2. AWARDS'!$F$7:$J$42,36,FALSE)/HLOOKUP(E38,'2. AWARDS'!$F$7:$J$42,35,FALSE)*HLOOKUP(E38,'2. AWARDS'!$F$7:$J$45,39,FALSE))/(HLOOKUP(E38,'2. AWARDS'!$F$7:$J$45,31,FALSE)*2)*L38*M38*HLOOKUP(E38,'2. AWARDS'!$F$7:$J$45,31,FALSE)*MAX(W38:AA38))</f>
        <v>#N/A</v>
      </c>
      <c r="AI38" s="474"/>
      <c r="AJ38" s="804"/>
      <c r="AK38" s="801"/>
      <c r="AL38" s="801"/>
      <c r="AM38" s="802"/>
      <c r="AN38" s="1012"/>
      <c r="AO38" s="836">
        <f>IF(AJ38="YES",HLOOKUP(E38,'2. AWARDS'!$F$7:$J$38,32,FALSE)/5*HLOOKUP(E38,'2. AWARDS'!$F$7:$J$37,31,FALSE)*L38/(HLOOKUP(E38,'2. AWARDS'!$F$7:$J$37,31,FALSE)*2)*M38*MAX(W38:AA38)*(1+HLOOKUP(E38,'2. AWARDS'!$F$7:$J$43,37,FALSE))*(1-AM38),0)</f>
        <v>0</v>
      </c>
      <c r="AP38" s="836">
        <f>IF(AK38="YES",HLOOKUP(E38,'2. AWARDS'!$F$7:$J$39,33,FALSE)/5*HLOOKUP(E38,'2. AWARDS'!$F$7:$J$37,31,FALSE)*L38/(HLOOKUP(E38,'2. AWARDS'!$F$7:$J$37,31,FALSE)*2)*M38*MAX(W38:AA38)*(1+HLOOKUP(E38,'2. AWARDS'!$F$7:$J$43,37,FALSE))*(1-AM38),0)</f>
        <v>0</v>
      </c>
      <c r="AQ38" s="838">
        <f>IF(AL38="YES",HLOOKUP(E38,'2. AWARDS'!$F$7:$J$47,40,FALSE)/5*HLOOKUP(E38,'2. AWARDS'!$F$7:$J$37,31,FALSE)*L38/(HLOOKUP(E38,'2. AWARDS'!$F$7:$J$37,31,FALSE)*2)*M38*MAX(W38:AA38)*(1+HLOOKUP(E38,'2. AWARDS'!$F$7:$J$43,37,FALSE))*(1-AM38),0)</f>
        <v>0</v>
      </c>
      <c r="AR38" s="839">
        <f>(IF(AJ38="YES",HLOOKUP(E38,'2. AWARDS'!$F$7:$J$39,32,FALSE),0)+IF(AK38="YES",HLOOKUP(E38,'2. AWARDS'!$F$7:$J$39,33,FALSE),0)+IF(AL38="YES",HLOOKUP(E38,'2. AWARDS'!$F$7:$J$47,40,FALSE),0))*L38/76*7.6*AM38*AN38*M38</f>
        <v>0</v>
      </c>
      <c r="AS38" s="683"/>
      <c r="AT38" s="802">
        <f>'1. KEY DATA'!J$29</f>
        <v>0</v>
      </c>
      <c r="AU38" s="822">
        <f>'1. KEY DATA'!J$30</f>
        <v>0.09</v>
      </c>
      <c r="AV38" s="502"/>
      <c r="AW38" s="478">
        <f t="shared" si="44"/>
        <v>0</v>
      </c>
      <c r="AX38" s="502"/>
      <c r="AY38" s="998"/>
      <c r="AZ38" s="999"/>
      <c r="BA38" s="999"/>
      <c r="BB38" s="999"/>
      <c r="BC38" s="999"/>
      <c r="BD38" s="999"/>
      <c r="BE38" s="999"/>
      <c r="BF38" s="999"/>
      <c r="BG38" s="999"/>
      <c r="BH38" s="999"/>
      <c r="BI38" s="1392"/>
      <c r="BJ38" s="1393"/>
      <c r="BK38" s="1393"/>
      <c r="BL38" s="1394"/>
      <c r="BM38" s="301">
        <f t="shared" si="45"/>
        <v>1</v>
      </c>
      <c r="BO38" s="244">
        <f t="shared" si="46"/>
        <v>0</v>
      </c>
      <c r="BP38" s="245">
        <f t="shared" si="47"/>
        <v>0</v>
      </c>
      <c r="BQ38" s="245">
        <f t="shared" si="48"/>
        <v>0</v>
      </c>
      <c r="BR38" s="245">
        <f t="shared" si="49"/>
        <v>0</v>
      </c>
      <c r="BS38" s="245">
        <f t="shared" si="50"/>
        <v>0</v>
      </c>
      <c r="BT38" s="245">
        <f t="shared" si="51"/>
        <v>0</v>
      </c>
      <c r="BU38" s="245">
        <f t="shared" si="52"/>
        <v>0</v>
      </c>
      <c r="BV38" s="245">
        <f t="shared" si="53"/>
        <v>0</v>
      </c>
      <c r="BW38" s="245">
        <f t="shared" si="54"/>
        <v>0</v>
      </c>
      <c r="BX38" s="246">
        <f t="shared" si="55"/>
        <v>0</v>
      </c>
      <c r="BY38" s="1380"/>
      <c r="BZ38" s="1381"/>
      <c r="CA38" s="1381"/>
      <c r="CB38" s="1382"/>
    </row>
    <row r="39" spans="1:80">
      <c r="A39">
        <f t="shared" si="37"/>
        <v>19</v>
      </c>
      <c r="B39" s="217"/>
      <c r="C39" s="214"/>
      <c r="D39" s="699">
        <f t="shared" si="38"/>
        <v>0</v>
      </c>
      <c r="E39" s="626"/>
      <c r="F39" s="900"/>
      <c r="G39" s="702"/>
      <c r="H39" s="693"/>
      <c r="I39" s="694"/>
      <c r="J39" s="1113"/>
      <c r="K39" s="1114"/>
      <c r="L39" s="1109"/>
      <c r="M39" s="689"/>
      <c r="N39" s="629"/>
      <c r="O39" s="629"/>
      <c r="P39" s="638">
        <f t="shared" si="39"/>
        <v>0.03</v>
      </c>
      <c r="Q39" s="629"/>
      <c r="R39" s="673" t="str">
        <f t="shared" si="40"/>
        <v>-</v>
      </c>
      <c r="S39" s="649"/>
      <c r="T39" s="647"/>
      <c r="U39" s="827"/>
      <c r="V39" s="670"/>
      <c r="W39" s="798">
        <f t="shared" si="41"/>
        <v>0</v>
      </c>
      <c r="X39" s="656">
        <f>IF(OR(E39=0,F39=0),0,IF(E39='2. AWARDS'!F$7,VLOOKUP(F39,'2. AWARDS'!$C$9:$F$35,4,FALSE),IF(E39='2. AWARDS'!G$7,VLOOKUP(F39,'2. AWARDS'!$C$9:$G$35,5,FALSE),IF(E39='2. AWARDS'!H$7,VLOOKUP(F39,'2. AWARDS'!$C$9:$H$35,6,FALSE),IF(E39='2. AWARDS'!I$7,VLOOKUP(F39,'2. AWARDS'!$C$9:$I$35,7,FALSE),VLOOKUP(F39,'2. AWARDS'!$C$9:$J$35,8,FALSE))))))</f>
        <v>0</v>
      </c>
      <c r="Y39" s="980">
        <f>IF(OR(E39=0,F39=0),0,IF(AND(N39=0,E39='2. AWARDS'!F$7,VLOOKUP(F39,'2. AWARDS'!$C$9:$O$35,9,FALSE)&lt;&gt;0),"date missing",IF(AND(N39=0,E39='2. AWARDS'!G$7,VLOOKUP(F39,'2. AWARDS'!$C$9:$O$35,10,FALSE)&lt;&gt;0),"date missing",IF(AND(N39=0,E39='2. AWARDS'!H$7,VLOOKUP(F39,'2. AWARDS'!$C$9:$O$35,11,FALSE)&lt;&gt;0),"date missing",IF(AND(N39=0,E39='2. AWARDS'!I$7,VLOOKUP(F39,'2. AWARDS'!$C$9:$O$35,12,FALSE)&lt;&gt;0),"date missing",IF(AND(N39=0,E39='2. AWARDS'!J$7,VLOOKUP(F39,'2. AWARDS'!$C$9:$O$35,13,FALSE)&lt;&gt;0),"date missing",IF(N39=0,0,IF(OR(N39=MIN(O39,Q39),AND(N39&lt;O39,N39&lt;Q39,N39&gt;0)),IF(E39='2. AWARDS'!F$7,VLOOKUP(F39,'2. AWARDS'!$C$9:$O$35,9,FALSE),IF(E39='2. AWARDS'!G$7,VLOOKUP(F39,'2. AWARDS'!$C$9:$O$35,10,FALSE),IF(E39='2. AWARDS'!H$7,VLOOKUP(F39,'2. AWARDS'!$C$9:$O$35,11,FALSE),IF(E39='2. AWARDS'!I$7,VLOOKUP(F39,'2. AWARDS'!$C$9:$O$35,12,FALSE),IF(E39='2. AWARDS'!J$7,VLOOKUP(F39,'2. AWARDS'!$C$9:$O$35,13,FALSE)))))),IF(AND(N39&gt;O39,N39&lt;Q39),IF(E39='2. AWARDS'!F$7,(1+P39)*VLOOKUP(F39,'2. AWARDS'!$C$9:$O$35,9,FALSE),IF(E39='2. AWARDS'!G$7,(1+P39)*VLOOKUP(F39,'2. AWARDS'!$C$9:$O$35,10,FALSE),IF(E39='2. AWARDS'!H$7,(1+P39)*VLOOKUP(F39,'2. AWARDS'!$C$9:$O$35,11,FALSE),IF(E39='2. AWARDS'!I$7,(1+P39)*VLOOKUP(F39,'2. AWARDS'!$C$9:$O$35,12,FALSE),IF(E39='2. AWARDS'!J$7,(1+P39)*VLOOKUP(F39,'2. AWARDS'!$C$9:$O$35,13,FALSE)))))),IF(AND(N39&lt;O39,N39&gt;Q39),IF(E39='2. AWARDS'!F$7,(1+(R39/9))*VLOOKUP(F39,'2. AWARDS'!$C$9:$O$35,9,FALSE),IF(E39='2. AWARDS'!G$7,(1+(R39/9))*VLOOKUP(F39,'2. AWARDS'!$C$9:$O$35,10,FALSE),IF(E39='2. AWARDS'!H$7,(1+(R39/9))*VLOOKUP(F39,'2. AWARDS'!$C$9:$O$35,11,FALSE),IF(E39='2. AWARDS'!I$7,(1+(R39/9))*VLOOKUP(F39,'2. AWARDS'!$C$9:$O$35,12,FALSE),IF(E39='2. AWARDS'!J$7,(1+(R39/9))*VLOOKUP(F39,'2. AWARDS'!$C$9:$O$35,13,FALSE)))))),IF(OR(N39=MAX(O39,Q39),AND(N39&gt;O39,N39&gt;Q39)),IF(E39='2. AWARDS'!F$7,((1+(R39/9))*(1+P39))*VLOOKUP(F39,'2. AWARDS'!$C$9:$O$35,9,FALSE),IF(E39='2. AWARDS'!G$7,((1+(R39/9))*(1+P39))*VLOOKUP(F39,'2. AWARDS'!$C$9:$O$35,10,FALSE),IF(E39='2. AWARDS'!H$7,((1+(R39/9))*(1+P39))*VLOOKUP(F39,'2. AWARDS'!$C$9:$O$35,11,FALSE),IF(E39='2. AWARDS'!I$7,((1+(R39/9))*(1+P39))*VLOOKUP(F39,'2. AWARDS'!$C$9:$O$35,12,FALSE),IF(E39='2. AWARDS'!J$7,((1+(R39/9))*(1+P39))*VLOOKUP(F39,'2. AWARDS'!$C$9:$O$35,13,FALSE)))))),"?")))))))))))</f>
        <v>0</v>
      </c>
      <c r="Z39" s="1093" t="e">
        <f>IF(AND(E39='2. AWARDS'!F25,O39&gt;N39,O39&gt;Q39,VLOOKUP(F39,'2. AWARDS'!$C$9:$O$35,9,FALSE)&lt;&gt;0),VLOOKUP(F39,'2. AWARDS'!$C$9:$O$35,9,FALSE)*(1+P39)*(1+(R39/9)),IF(AND(E39='2. AWARDS'!F25,O39&gt;N39,O39&gt;Q39,VLOOKUP(F39,'2. AWARDS'!$C$9:$O$35,9,FALSE)=0),X39*(1+P39)*(1+(R39/9)),IF(AND(E39='2. AWARDS'!G25,O39&gt;N39,O39&gt;Q39,VLOOKUP(F39,'2. AWARDS'!$C$9:$O$35,10,FALSE)&lt;&gt;0),VLOOKUP(F39,'2. AWARDS'!$C$9:$O$35,10,FALSE)*(1+P39)*(1+(R39/9)),IF(AND(E39='2. AWARDS'!G25,O39&gt;N39,O39&gt;Q39,VLOOKUP(F39,'2. AWARDS'!$C$9:$O$35,10,FALSE)=0),X39*(1+P39)*(1+(R39/9)),IF(AND(E39='2. AWARDS'!H25,O39&gt;N39,O39&gt;Q39,VLOOKUP(F39,'2. AWARDS'!$C$9:$O$35,11,FALSE)&lt;&gt;0),VLOOKUP(F39,'2. AWARDS'!$C$9:$O$35,11,FALSE)*(1+P39)*(1+(R39/9)),IF(AND(E39='2. AWARDS'!H25,O39&gt;N39,O39&gt;Q39,VLOOKUP(F39,'2. AWARDS'!$C$9:$O$35,11,FALSE)=0),X39*(1+P39)*(1+(R39/9)),IF(AND(E39='2. AWARDS'!I25,O39&gt;N39,O39&gt;Q39,VLOOKUP(F39,'2. AWARDS'!$C$9:$O$35,12,FALSE)&lt;&gt;0),VLOOKUP(F39,'2. AWARDS'!$C$9:$O$35,12,FALSE)*(1+P39)*(1+(R39/9)),IF(AND(E39='2. AWARDS'!I25,O39&gt;N39,O39&gt;Q39,VLOOKUP(F39,'2. AWARDS'!$C$9:$O$35,12,FALSE)=0),X39*(1+P39)*(1+(R39/9)),IF(AND(E39='2. AWARDS'!J25,O39&gt;N39,O39&gt;Q39,VLOOKUP(F39,'2. AWARDS'!$C$9:$O$35,13,FALSE)&lt;&gt;0),VLOOKUP(F39,'2. AWARDS'!$C$9:$O$35,13,FALSE)*(1+P39)*(1+(R39/9)),IF(AND(E39='2. AWARDS'!J25,O39&gt;N39,O39&gt;Q39,VLOOKUP(F39,'2. AWARDS'!$C$9:$O$35,13,FALSE)=0),X39*(1+P39)*(1+(R39/9)),IF(AND(O39&lt;N39,O39&gt;Q39),X39*(1+P39)*(1+(R39/9)),IF(AND(E39='2. AWARDS'!F25,O39=MAX(N39,Q39),VLOOKUP(F39,'2. AWARDS'!$C$9:$O$35,9,FALSE)&lt;&gt;0),VLOOKUP(F39,'2. AWARDS'!$C$9:$O$35,9,FALSE)*(1+P39)*(1+(R39/9)),IF(AND(E39='2. AWARDS'!F25,O39=MAX(N39,Q39),VLOOKUP(F39,'2. AWARDS'!$C$9:$O$35,9,FALSE)=0),X39*(1+P39)*(1+(R39/9)),IF(AND(E39='2. AWARDS'!G25,O39=MAX(N39,Q39),VLOOKUP(F39,'2. AWARDS'!$C$9:$O$35,10,FALSE)&lt;&gt;0),VLOOKUP(F39,'2. AWARDS'!$C$9:$O$35,10,FALSE)*(1+P39)*(1+(R39/9)),IF(AND(E39='2. AWARDS'!G25,O39=MAX(N39,Q39),VLOOKUP(F39,'2. AWARDS'!$C$9:$O$35,10,FALSE)=0),X39*(1+P39)*(1+(R39/9)),IF(AND(E39='2. AWARDS'!H25,O39=MAX(N39,Q39),VLOOKUP(F39,'2. AWARDS'!$C$9:$O$35,11,FALSE)&lt;&gt;0),VLOOKUP(F39,'2. AWARDS'!$C$9:$O$35,11,FALSE)*(1+P39)*(1+(R39/9)),IF(AND(E39='2. AWARDS'!H25,O39=MAX(N39,Q39),VLOOKUP(F39,'2. AWARDS'!$C$9:$O$35,11,FALSE)=0),X39*(1+P39)*(1+(R39/9)),IF(AND(E39='2. AWARDS'!I25,O39=MAX(N39,Q39),VLOOKUP(F39,'2. AWARDS'!$C$9:$O$35,12,FALSE)&lt;&gt;0),VLOOKUP(F39,'2. AWARDS'!$C$9:$O$35,12,FALSE)*(1+P39)*(1+(R39/9)),IF(AND(E39='2. AWARDS'!I25,O39=MAX(N39,Q39),VLOOKUP(F39,'2. AWARDS'!$C$9:$O$35,12,FALSE)=0),X39*(1+P39)*(1+(R39/9)),IF(AND(E39='2. AWARDS'!J25,O39=MAX(N39,Q39),VLOOKUP(F39,'2. AWARDS'!$C$9:$O$35,13,FALSE)&lt;&gt;0),VLOOKUP(F39,'2. AWARDS'!$C$9:$O$35,13,FALSE)*(1+P39)*(1+(R39/9)),IF(AND(E39='2. AWARDS'!J25,O39=MAX(N39,Q39),VLOOKUP(F39,'2. AWARDS'!$C$9:$O$35,13,FALSE)=0),X39*(1+P39)*(1+(R39/9)),IF(AND(O39&lt;N39,O39&lt;Q39),X39*(1+P39),IF(AND(O39=N39,N39&lt;Q39,E39='2. AWARDS'!F25),VLOOKUP(F39,'2. AWARDS'!$C$9:$O$35,9,FALSE)*(1+P39),IF(AND(O39=N39,N39&lt;Q39,E39='2. AWARDS'!G25),VLOOKUP(F39,'2. AWARDS'!$C$9:$O$35,10,FALSE)*(1+P39),IF(AND(O39=N39,N39&lt;Q39,E39='2. AWARDS'!H25),VLOOKUP(F39,'2. AWARDS'!$C$9:$O$35,11,FALSE)*(1+P39),IF(AND(O39=N39,N39&lt;Q39,E39='2. AWARDS'!I25),VLOOKUP(F39,'2. AWARDS'!$C$9:$O$35,12,FALSE)*(1+P39),IF(AND(O39=N39,N39&lt;Q39,E39='2. AWARDS'!J25),VLOOKUP(F39,'2. AWARDS'!$C$9:$O$35,13,FALSE)*(1+P39),IF(AND(O39=Q39,N39&gt;Q39),X39*(1+P39)*(1+(R39/9)),IF(AND(E39='2. AWARDS'!F25,O39&gt;N39,O39&lt;Q39,VLOOKUP(F39,'2. AWARDS'!$C$9:$O$35,9,FALSE)&lt;&gt;0),VLOOKUP(F39,'2. AWARDS'!$C$9:$O$35,9,FALSE)*(1+P39),IF(AND(E39='2. AWARDS'!G25,O39&gt;N39,O39&lt;Q39,VLOOKUP(F39,'2. AWARDS'!$C$9:$O$35,10,FALSE)&lt;&gt;0),VLOOKUP(F39,'2. AWARDS'!$C$9:$O$35,10,FALSE)*(1+P39),IF(AND(E39='2. AWARDS'!H25,O39&gt;N39,O39&lt;Q39,VLOOKUP(F39,'2. AWARDS'!$C$9:$O$35,11,FALSE)&lt;&gt;0),VLOOKUP(F39,'2. AWARDS'!$C$9:$O$35,11,FALSE)*(1+P39),IF(AND(E39='2. AWARDS'!I25,O39&gt;N39,O39&lt;Q39,VLOOKUP(F39,'2. AWARDS'!$C$9:$O$35,12,FALSE)&lt;&gt;0),VLOOKUP(F39,'2. AWARDS'!$C$9:$O$35,12,FALSE)*(1+P39),IF(AND(E39='2. AWARDS'!J25,O39&gt;N39,O39&lt;Q39,VLOOKUP(F39,'2. AWARDS'!$C$9:$O$35,13,FALSE)&lt;&gt;0),VLOOKUP(F39,'2. AWARDS'!$C$9:$O$35,13,FALSE)*(1+P39),X39*(1+P39))))))))))))))))))))))))))))))))))</f>
        <v>#N/A</v>
      </c>
      <c r="AA39" s="661" t="e">
        <f t="shared" si="42"/>
        <v>#N/A</v>
      </c>
      <c r="AB39" s="683"/>
      <c r="AC39" s="774"/>
      <c r="AD39" s="774"/>
      <c r="AE39" s="777"/>
      <c r="AF39" s="781">
        <f t="shared" si="43"/>
        <v>0</v>
      </c>
      <c r="AG39" s="781" t="e">
        <f>HLOOKUP(E39,'2. AWARDS'!$F$7:$J$40,32,FALSE)/5*HLOOKUP(E39,'2. AWARDS'!$F$7:$J$40,31,FALSE)*MAX(W39:AA39)*M39*HLOOKUP(E39,'2. AWARDS'!$F$7:$J$40,34,FALSE)*(L39/(38*2))</f>
        <v>#N/A</v>
      </c>
      <c r="AH39" s="783" t="e">
        <f>((HLOOKUP(E39,'2. AWARDS'!$F$7:$J$42,36,FALSE)/HLOOKUP(E39,'2. AWARDS'!$F$7:$J$42,35,FALSE)*HLOOKUP(E39,'2. AWARDS'!$F$7:$J$45,39,FALSE))/(HLOOKUP(E39,'2. AWARDS'!$F$7:$J$45,31,FALSE)*2)*L39*M39*HLOOKUP(E39,'2. AWARDS'!$F$7:$J$45,31,FALSE)*MAX(W39:AA39))</f>
        <v>#N/A</v>
      </c>
      <c r="AI39" s="474"/>
      <c r="AJ39" s="804"/>
      <c r="AK39" s="801"/>
      <c r="AL39" s="801"/>
      <c r="AM39" s="802"/>
      <c r="AN39" s="1012"/>
      <c r="AO39" s="836">
        <f>IF(AJ39="YES",HLOOKUP(E39,'2. AWARDS'!$F$7:$J$38,32,FALSE)/5*HLOOKUP(E39,'2. AWARDS'!$F$7:$J$37,31,FALSE)*L39/(HLOOKUP(E39,'2. AWARDS'!$F$7:$J$37,31,FALSE)*2)*M39*MAX(W39:AA39)*(1+HLOOKUP(E39,'2. AWARDS'!$F$7:$J$43,37,FALSE))*(1-AM39),0)</f>
        <v>0</v>
      </c>
      <c r="AP39" s="836">
        <f>IF(AK39="YES",HLOOKUP(E39,'2. AWARDS'!$F$7:$J$39,33,FALSE)/5*HLOOKUP(E39,'2. AWARDS'!$F$7:$J$37,31,FALSE)*L39/(HLOOKUP(E39,'2. AWARDS'!$F$7:$J$37,31,FALSE)*2)*M39*MAX(W39:AA39)*(1+HLOOKUP(E39,'2. AWARDS'!$F$7:$J$43,37,FALSE))*(1-AM39),0)</f>
        <v>0</v>
      </c>
      <c r="AQ39" s="838">
        <f>IF(AL39="YES",HLOOKUP(E39,'2. AWARDS'!$F$7:$J$47,40,FALSE)/5*HLOOKUP(E39,'2. AWARDS'!$F$7:$J$37,31,FALSE)*L39/(HLOOKUP(E39,'2. AWARDS'!$F$7:$J$37,31,FALSE)*2)*M39*MAX(W39:AA39)*(1+HLOOKUP(E39,'2. AWARDS'!$F$7:$J$43,37,FALSE))*(1-AM39),0)</f>
        <v>0</v>
      </c>
      <c r="AR39" s="839">
        <f>(IF(AJ39="YES",HLOOKUP(E39,'2. AWARDS'!$F$7:$J$39,32,FALSE),0)+IF(AK39="YES",HLOOKUP(E39,'2. AWARDS'!$F$7:$J$39,33,FALSE),0)+IF(AL39="YES",HLOOKUP(E39,'2. AWARDS'!$F$7:$J$47,40,FALSE),0))*L39/76*7.6*AM39*AN39*M39</f>
        <v>0</v>
      </c>
      <c r="AS39" s="683"/>
      <c r="AT39" s="802">
        <f>'1. KEY DATA'!J$29</f>
        <v>0</v>
      </c>
      <c r="AU39" s="822">
        <f>'1. KEY DATA'!J$30</f>
        <v>0.09</v>
      </c>
      <c r="AV39" s="502"/>
      <c r="AW39" s="478">
        <f t="shared" si="44"/>
        <v>0</v>
      </c>
      <c r="AX39" s="502"/>
      <c r="AY39" s="998"/>
      <c r="AZ39" s="999"/>
      <c r="BA39" s="999"/>
      <c r="BB39" s="999"/>
      <c r="BC39" s="999"/>
      <c r="BD39" s="999"/>
      <c r="BE39" s="999"/>
      <c r="BF39" s="999"/>
      <c r="BG39" s="999"/>
      <c r="BH39" s="999"/>
      <c r="BI39" s="1392"/>
      <c r="BJ39" s="1393"/>
      <c r="BK39" s="1393"/>
      <c r="BL39" s="1394"/>
      <c r="BM39" s="301">
        <f t="shared" si="45"/>
        <v>1</v>
      </c>
      <c r="BO39" s="244">
        <f t="shared" si="46"/>
        <v>0</v>
      </c>
      <c r="BP39" s="245">
        <f t="shared" si="47"/>
        <v>0</v>
      </c>
      <c r="BQ39" s="245">
        <f t="shared" si="48"/>
        <v>0</v>
      </c>
      <c r="BR39" s="245">
        <f t="shared" si="49"/>
        <v>0</v>
      </c>
      <c r="BS39" s="245">
        <f t="shared" si="50"/>
        <v>0</v>
      </c>
      <c r="BT39" s="245">
        <f t="shared" si="51"/>
        <v>0</v>
      </c>
      <c r="BU39" s="245">
        <f t="shared" si="52"/>
        <v>0</v>
      </c>
      <c r="BV39" s="245">
        <f t="shared" si="53"/>
        <v>0</v>
      </c>
      <c r="BW39" s="245">
        <f t="shared" si="54"/>
        <v>0</v>
      </c>
      <c r="BX39" s="246">
        <f t="shared" si="55"/>
        <v>0</v>
      </c>
      <c r="BY39" s="1380"/>
      <c r="BZ39" s="1381"/>
      <c r="CA39" s="1381"/>
      <c r="CB39" s="1382"/>
    </row>
    <row r="40" spans="1:80">
      <c r="A40">
        <f t="shared" si="37"/>
        <v>20</v>
      </c>
      <c r="B40" s="217"/>
      <c r="C40" s="214"/>
      <c r="D40" s="699">
        <f t="shared" si="38"/>
        <v>0</v>
      </c>
      <c r="E40" s="626"/>
      <c r="F40" s="900"/>
      <c r="G40" s="702"/>
      <c r="H40" s="693"/>
      <c r="I40" s="694"/>
      <c r="J40" s="1113"/>
      <c r="K40" s="1114"/>
      <c r="L40" s="1109"/>
      <c r="M40" s="689"/>
      <c r="N40" s="629"/>
      <c r="O40" s="629"/>
      <c r="P40" s="638">
        <f t="shared" si="39"/>
        <v>0.03</v>
      </c>
      <c r="Q40" s="629"/>
      <c r="R40" s="673" t="str">
        <f t="shared" si="40"/>
        <v>-</v>
      </c>
      <c r="S40" s="649"/>
      <c r="T40" s="647"/>
      <c r="U40" s="827"/>
      <c r="V40" s="670"/>
      <c r="W40" s="798">
        <f t="shared" si="41"/>
        <v>0</v>
      </c>
      <c r="X40" s="656">
        <f>IF(OR(E40=0,F40=0),0,IF(E40='2. AWARDS'!F$7,VLOOKUP(F40,'2. AWARDS'!$C$9:$F$35,4,FALSE),IF(E40='2. AWARDS'!G$7,VLOOKUP(F40,'2. AWARDS'!$C$9:$G$35,5,FALSE),IF(E40='2. AWARDS'!H$7,VLOOKUP(F40,'2. AWARDS'!$C$9:$H$35,6,FALSE),IF(E40='2. AWARDS'!I$7,VLOOKUP(F40,'2. AWARDS'!$C$9:$I$35,7,FALSE),VLOOKUP(F40,'2. AWARDS'!$C$9:$J$35,8,FALSE))))))</f>
        <v>0</v>
      </c>
      <c r="Y40" s="980">
        <f>IF(OR(E40=0,F40=0),0,IF(AND(N40=0,E40='2. AWARDS'!F$7,VLOOKUP(F40,'2. AWARDS'!$C$9:$O$35,9,FALSE)&lt;&gt;0),"date missing",IF(AND(N40=0,E40='2. AWARDS'!G$7,VLOOKUP(F40,'2. AWARDS'!$C$9:$O$35,10,FALSE)&lt;&gt;0),"date missing",IF(AND(N40=0,E40='2. AWARDS'!H$7,VLOOKUP(F40,'2. AWARDS'!$C$9:$O$35,11,FALSE)&lt;&gt;0),"date missing",IF(AND(N40=0,E40='2. AWARDS'!I$7,VLOOKUP(F40,'2. AWARDS'!$C$9:$O$35,12,FALSE)&lt;&gt;0),"date missing",IF(AND(N40=0,E40='2. AWARDS'!J$7,VLOOKUP(F40,'2. AWARDS'!$C$9:$O$35,13,FALSE)&lt;&gt;0),"date missing",IF(N40=0,0,IF(OR(N40=MIN(O40,Q40),AND(N40&lt;O40,N40&lt;Q40,N40&gt;0)),IF(E40='2. AWARDS'!F$7,VLOOKUP(F40,'2. AWARDS'!$C$9:$O$35,9,FALSE),IF(E40='2. AWARDS'!G$7,VLOOKUP(F40,'2. AWARDS'!$C$9:$O$35,10,FALSE),IF(E40='2. AWARDS'!H$7,VLOOKUP(F40,'2. AWARDS'!$C$9:$O$35,11,FALSE),IF(E40='2. AWARDS'!I$7,VLOOKUP(F40,'2. AWARDS'!$C$9:$O$35,12,FALSE),IF(E40='2. AWARDS'!J$7,VLOOKUP(F40,'2. AWARDS'!$C$9:$O$35,13,FALSE)))))),IF(AND(N40&gt;O40,N40&lt;Q40),IF(E40='2. AWARDS'!F$7,(1+P40)*VLOOKUP(F40,'2. AWARDS'!$C$9:$O$35,9,FALSE),IF(E40='2. AWARDS'!G$7,(1+P40)*VLOOKUP(F40,'2. AWARDS'!$C$9:$O$35,10,FALSE),IF(E40='2. AWARDS'!H$7,(1+P40)*VLOOKUP(F40,'2. AWARDS'!$C$9:$O$35,11,FALSE),IF(E40='2. AWARDS'!I$7,(1+P40)*VLOOKUP(F40,'2. AWARDS'!$C$9:$O$35,12,FALSE),IF(E40='2. AWARDS'!J$7,(1+P40)*VLOOKUP(F40,'2. AWARDS'!$C$9:$O$35,13,FALSE)))))),IF(AND(N40&lt;O40,N40&gt;Q40),IF(E40='2. AWARDS'!F$7,(1+(R40/9))*VLOOKUP(F40,'2. AWARDS'!$C$9:$O$35,9,FALSE),IF(E40='2. AWARDS'!G$7,(1+(R40/9))*VLOOKUP(F40,'2. AWARDS'!$C$9:$O$35,10,FALSE),IF(E40='2. AWARDS'!H$7,(1+(R40/9))*VLOOKUP(F40,'2. AWARDS'!$C$9:$O$35,11,FALSE),IF(E40='2. AWARDS'!I$7,(1+(R40/9))*VLOOKUP(F40,'2. AWARDS'!$C$9:$O$35,12,FALSE),IF(E40='2. AWARDS'!J$7,(1+(R40/9))*VLOOKUP(F40,'2. AWARDS'!$C$9:$O$35,13,FALSE)))))),IF(OR(N40=MAX(O40,Q40),AND(N40&gt;O40,N40&gt;Q40)),IF(E40='2. AWARDS'!F$7,((1+(R40/9))*(1+P40))*VLOOKUP(F40,'2. AWARDS'!$C$9:$O$35,9,FALSE),IF(E40='2. AWARDS'!G$7,((1+(R40/9))*(1+P40))*VLOOKUP(F40,'2. AWARDS'!$C$9:$O$35,10,FALSE),IF(E40='2. AWARDS'!H$7,((1+(R40/9))*(1+P40))*VLOOKUP(F40,'2. AWARDS'!$C$9:$O$35,11,FALSE),IF(E40='2. AWARDS'!I$7,((1+(R40/9))*(1+P40))*VLOOKUP(F40,'2. AWARDS'!$C$9:$O$35,12,FALSE),IF(E40='2. AWARDS'!J$7,((1+(R40/9))*(1+P40))*VLOOKUP(F40,'2. AWARDS'!$C$9:$O$35,13,FALSE)))))),"?")))))))))))</f>
        <v>0</v>
      </c>
      <c r="Z40" s="1093" t="e">
        <f>IF(AND(E40='2. AWARDS'!F26,O40&gt;N40,O40&gt;Q40,VLOOKUP(F40,'2. AWARDS'!$C$9:$O$35,9,FALSE)&lt;&gt;0),VLOOKUP(F40,'2. AWARDS'!$C$9:$O$35,9,FALSE)*(1+P40)*(1+(R40/9)),IF(AND(E40='2. AWARDS'!F26,O40&gt;N40,O40&gt;Q40,VLOOKUP(F40,'2. AWARDS'!$C$9:$O$35,9,FALSE)=0),X40*(1+P40)*(1+(R40/9)),IF(AND(E40='2. AWARDS'!G26,O40&gt;N40,O40&gt;Q40,VLOOKUP(F40,'2. AWARDS'!$C$9:$O$35,10,FALSE)&lt;&gt;0),VLOOKUP(F40,'2. AWARDS'!$C$9:$O$35,10,FALSE)*(1+P40)*(1+(R40/9)),IF(AND(E40='2. AWARDS'!G26,O40&gt;N40,O40&gt;Q40,VLOOKUP(F40,'2. AWARDS'!$C$9:$O$35,10,FALSE)=0),X40*(1+P40)*(1+(R40/9)),IF(AND(E40='2. AWARDS'!H26,O40&gt;N40,O40&gt;Q40,VLOOKUP(F40,'2. AWARDS'!$C$9:$O$35,11,FALSE)&lt;&gt;0),VLOOKUP(F40,'2. AWARDS'!$C$9:$O$35,11,FALSE)*(1+P40)*(1+(R40/9)),IF(AND(E40='2. AWARDS'!H26,O40&gt;N40,O40&gt;Q40,VLOOKUP(F40,'2. AWARDS'!$C$9:$O$35,11,FALSE)=0),X40*(1+P40)*(1+(R40/9)),IF(AND(E40='2. AWARDS'!I26,O40&gt;N40,O40&gt;Q40,VLOOKUP(F40,'2. AWARDS'!$C$9:$O$35,12,FALSE)&lt;&gt;0),VLOOKUP(F40,'2. AWARDS'!$C$9:$O$35,12,FALSE)*(1+P40)*(1+(R40/9)),IF(AND(E40='2. AWARDS'!I26,O40&gt;N40,O40&gt;Q40,VLOOKUP(F40,'2. AWARDS'!$C$9:$O$35,12,FALSE)=0),X40*(1+P40)*(1+(R40/9)),IF(AND(E40='2. AWARDS'!J26,O40&gt;N40,O40&gt;Q40,VLOOKUP(F40,'2. AWARDS'!$C$9:$O$35,13,FALSE)&lt;&gt;0),VLOOKUP(F40,'2. AWARDS'!$C$9:$O$35,13,FALSE)*(1+P40)*(1+(R40/9)),IF(AND(E40='2. AWARDS'!J26,O40&gt;N40,O40&gt;Q40,VLOOKUP(F40,'2. AWARDS'!$C$9:$O$35,13,FALSE)=0),X40*(1+P40)*(1+(R40/9)),IF(AND(O40&lt;N40,O40&gt;Q40),X40*(1+P40)*(1+(R40/9)),IF(AND(E40='2. AWARDS'!F26,O40=MAX(N40,Q40),VLOOKUP(F40,'2. AWARDS'!$C$9:$O$35,9,FALSE)&lt;&gt;0),VLOOKUP(F40,'2. AWARDS'!$C$9:$O$35,9,FALSE)*(1+P40)*(1+(R40/9)),IF(AND(E40='2. AWARDS'!F26,O40=MAX(N40,Q40),VLOOKUP(F40,'2. AWARDS'!$C$9:$O$35,9,FALSE)=0),X40*(1+P40)*(1+(R40/9)),IF(AND(E40='2. AWARDS'!G26,O40=MAX(N40,Q40),VLOOKUP(F40,'2. AWARDS'!$C$9:$O$35,10,FALSE)&lt;&gt;0),VLOOKUP(F40,'2. AWARDS'!$C$9:$O$35,10,FALSE)*(1+P40)*(1+(R40/9)),IF(AND(E40='2. AWARDS'!G26,O40=MAX(N40,Q40),VLOOKUP(F40,'2. AWARDS'!$C$9:$O$35,10,FALSE)=0),X40*(1+P40)*(1+(R40/9)),IF(AND(E40='2. AWARDS'!H26,O40=MAX(N40,Q40),VLOOKUP(F40,'2. AWARDS'!$C$9:$O$35,11,FALSE)&lt;&gt;0),VLOOKUP(F40,'2. AWARDS'!$C$9:$O$35,11,FALSE)*(1+P40)*(1+(R40/9)),IF(AND(E40='2. AWARDS'!H26,O40=MAX(N40,Q40),VLOOKUP(F40,'2. AWARDS'!$C$9:$O$35,11,FALSE)=0),X40*(1+P40)*(1+(R40/9)),IF(AND(E40='2. AWARDS'!I26,O40=MAX(N40,Q40),VLOOKUP(F40,'2. AWARDS'!$C$9:$O$35,12,FALSE)&lt;&gt;0),VLOOKUP(F40,'2. AWARDS'!$C$9:$O$35,12,FALSE)*(1+P40)*(1+(R40/9)),IF(AND(E40='2. AWARDS'!I26,O40=MAX(N40,Q40),VLOOKUP(F40,'2. AWARDS'!$C$9:$O$35,12,FALSE)=0),X40*(1+P40)*(1+(R40/9)),IF(AND(E40='2. AWARDS'!J26,O40=MAX(N40,Q40),VLOOKUP(F40,'2. AWARDS'!$C$9:$O$35,13,FALSE)&lt;&gt;0),VLOOKUP(F40,'2. AWARDS'!$C$9:$O$35,13,FALSE)*(1+P40)*(1+(R40/9)),IF(AND(E40='2. AWARDS'!J26,O40=MAX(N40,Q40),VLOOKUP(F40,'2. AWARDS'!$C$9:$O$35,13,FALSE)=0),X40*(1+P40)*(1+(R40/9)),IF(AND(O40&lt;N40,O40&lt;Q40),X40*(1+P40),IF(AND(O40=N40,N40&lt;Q40,E40='2. AWARDS'!F26),VLOOKUP(F40,'2. AWARDS'!$C$9:$O$35,9,FALSE)*(1+P40),IF(AND(O40=N40,N40&lt;Q40,E40='2. AWARDS'!G26),VLOOKUP(F40,'2. AWARDS'!$C$9:$O$35,10,FALSE)*(1+P40),IF(AND(O40=N40,N40&lt;Q40,E40='2. AWARDS'!H26),VLOOKUP(F40,'2. AWARDS'!$C$9:$O$35,11,FALSE)*(1+P40),IF(AND(O40=N40,N40&lt;Q40,E40='2. AWARDS'!I26),VLOOKUP(F40,'2. AWARDS'!$C$9:$O$35,12,FALSE)*(1+P40),IF(AND(O40=N40,N40&lt;Q40,E40='2. AWARDS'!J26),VLOOKUP(F40,'2. AWARDS'!$C$9:$O$35,13,FALSE)*(1+P40),IF(AND(O40=Q40,N40&gt;Q40),X40*(1+P40)*(1+(R40/9)),IF(AND(E40='2. AWARDS'!F26,O40&gt;N40,O40&lt;Q40,VLOOKUP(F40,'2. AWARDS'!$C$9:$O$35,9,FALSE)&lt;&gt;0),VLOOKUP(F40,'2. AWARDS'!$C$9:$O$35,9,FALSE)*(1+P40),IF(AND(E40='2. AWARDS'!G26,O40&gt;N40,O40&lt;Q40,VLOOKUP(F40,'2. AWARDS'!$C$9:$O$35,10,FALSE)&lt;&gt;0),VLOOKUP(F40,'2. AWARDS'!$C$9:$O$35,10,FALSE)*(1+P40),IF(AND(E40='2. AWARDS'!H26,O40&gt;N40,O40&lt;Q40,VLOOKUP(F40,'2. AWARDS'!$C$9:$O$35,11,FALSE)&lt;&gt;0),VLOOKUP(F40,'2. AWARDS'!$C$9:$O$35,11,FALSE)*(1+P40),IF(AND(E40='2. AWARDS'!I26,O40&gt;N40,O40&lt;Q40,VLOOKUP(F40,'2. AWARDS'!$C$9:$O$35,12,FALSE)&lt;&gt;0),VLOOKUP(F40,'2. AWARDS'!$C$9:$O$35,12,FALSE)*(1+P40),IF(AND(E40='2. AWARDS'!J26,O40&gt;N40,O40&lt;Q40,VLOOKUP(F40,'2. AWARDS'!$C$9:$O$35,13,FALSE)&lt;&gt;0),VLOOKUP(F40,'2. AWARDS'!$C$9:$O$35,13,FALSE)*(1+P40),X40*(1+P40))))))))))))))))))))))))))))))))))</f>
        <v>#N/A</v>
      </c>
      <c r="AA40" s="661" t="e">
        <f t="shared" si="42"/>
        <v>#N/A</v>
      </c>
      <c r="AB40" s="683"/>
      <c r="AC40" s="774"/>
      <c r="AD40" s="774"/>
      <c r="AE40" s="777"/>
      <c r="AF40" s="781">
        <f t="shared" si="43"/>
        <v>0</v>
      </c>
      <c r="AG40" s="781" t="e">
        <f>HLOOKUP(E40,'2. AWARDS'!$F$7:$J$40,32,FALSE)/5*HLOOKUP(E40,'2. AWARDS'!$F$7:$J$40,31,FALSE)*MAX(W40:AA40)*M40*HLOOKUP(E40,'2. AWARDS'!$F$7:$J$40,34,FALSE)*(L40/(38*2))</f>
        <v>#N/A</v>
      </c>
      <c r="AH40" s="783" t="e">
        <f>((HLOOKUP(E40,'2. AWARDS'!$F$7:$J$42,36,FALSE)/HLOOKUP(E40,'2. AWARDS'!$F$7:$J$42,35,FALSE)*HLOOKUP(E40,'2. AWARDS'!$F$7:$J$45,39,FALSE))/(HLOOKUP(E40,'2. AWARDS'!$F$7:$J$45,31,FALSE)*2)*L40*M40*HLOOKUP(E40,'2. AWARDS'!$F$7:$J$45,31,FALSE)*MAX(W40:AA40))</f>
        <v>#N/A</v>
      </c>
      <c r="AI40" s="474"/>
      <c r="AJ40" s="804"/>
      <c r="AK40" s="801"/>
      <c r="AL40" s="801"/>
      <c r="AM40" s="802"/>
      <c r="AN40" s="1012"/>
      <c r="AO40" s="836">
        <f>IF(AJ40="YES",HLOOKUP(E40,'2. AWARDS'!$F$7:$J$38,32,FALSE)/5*HLOOKUP(E40,'2. AWARDS'!$F$7:$J$37,31,FALSE)*L40/(HLOOKUP(E40,'2. AWARDS'!$F$7:$J$37,31,FALSE)*2)*M40*MAX(W40:AA40)*(1+HLOOKUP(E40,'2. AWARDS'!$F$7:$J$43,37,FALSE))*(1-AM40),0)</f>
        <v>0</v>
      </c>
      <c r="AP40" s="836">
        <f>IF(AK40="YES",HLOOKUP(E40,'2. AWARDS'!$F$7:$J$39,33,FALSE)/5*HLOOKUP(E40,'2. AWARDS'!$F$7:$J$37,31,FALSE)*L40/(HLOOKUP(E40,'2. AWARDS'!$F$7:$J$37,31,FALSE)*2)*M40*MAX(W40:AA40)*(1+HLOOKUP(E40,'2. AWARDS'!$F$7:$J$43,37,FALSE))*(1-AM40),0)</f>
        <v>0</v>
      </c>
      <c r="AQ40" s="838">
        <f>IF(AL40="YES",HLOOKUP(E40,'2. AWARDS'!$F$7:$J$47,40,FALSE)/5*HLOOKUP(E40,'2. AWARDS'!$F$7:$J$37,31,FALSE)*L40/(HLOOKUP(E40,'2. AWARDS'!$F$7:$J$37,31,FALSE)*2)*M40*MAX(W40:AA40)*(1+HLOOKUP(E40,'2. AWARDS'!$F$7:$J$43,37,FALSE))*(1-AM40),0)</f>
        <v>0</v>
      </c>
      <c r="AR40" s="839">
        <f>(IF(AJ40="YES",HLOOKUP(E40,'2. AWARDS'!$F$7:$J$39,32,FALSE),0)+IF(AK40="YES",HLOOKUP(E40,'2. AWARDS'!$F$7:$J$39,33,FALSE),0)+IF(AL40="YES",HLOOKUP(E40,'2. AWARDS'!$F$7:$J$47,40,FALSE),0))*L40/76*7.6*AM40*AN40*M40</f>
        <v>0</v>
      </c>
      <c r="AS40" s="683"/>
      <c r="AT40" s="802">
        <f>'1. KEY DATA'!J$29</f>
        <v>0</v>
      </c>
      <c r="AU40" s="822">
        <f>'1. KEY DATA'!J$30</f>
        <v>0.09</v>
      </c>
      <c r="AV40" s="502"/>
      <c r="AW40" s="478">
        <f t="shared" si="44"/>
        <v>0</v>
      </c>
      <c r="AX40" s="502"/>
      <c r="AY40" s="998"/>
      <c r="AZ40" s="999"/>
      <c r="BA40" s="999"/>
      <c r="BB40" s="999"/>
      <c r="BC40" s="999"/>
      <c r="BD40" s="999"/>
      <c r="BE40" s="999"/>
      <c r="BF40" s="999"/>
      <c r="BG40" s="999"/>
      <c r="BH40" s="999"/>
      <c r="BI40" s="1392"/>
      <c r="BJ40" s="1393"/>
      <c r="BK40" s="1393"/>
      <c r="BL40" s="1394"/>
      <c r="BM40" s="301">
        <f t="shared" si="45"/>
        <v>1</v>
      </c>
      <c r="BO40" s="244">
        <f t="shared" si="46"/>
        <v>0</v>
      </c>
      <c r="BP40" s="245">
        <f t="shared" si="47"/>
        <v>0</v>
      </c>
      <c r="BQ40" s="245">
        <f t="shared" si="48"/>
        <v>0</v>
      </c>
      <c r="BR40" s="245">
        <f t="shared" si="49"/>
        <v>0</v>
      </c>
      <c r="BS40" s="245">
        <f t="shared" si="50"/>
        <v>0</v>
      </c>
      <c r="BT40" s="245">
        <f t="shared" si="51"/>
        <v>0</v>
      </c>
      <c r="BU40" s="245">
        <f t="shared" si="52"/>
        <v>0</v>
      </c>
      <c r="BV40" s="245">
        <f t="shared" si="53"/>
        <v>0</v>
      </c>
      <c r="BW40" s="245">
        <f t="shared" si="54"/>
        <v>0</v>
      </c>
      <c r="BX40" s="246">
        <f t="shared" si="55"/>
        <v>0</v>
      </c>
      <c r="BY40" s="1380"/>
      <c r="BZ40" s="1381"/>
      <c r="CA40" s="1381"/>
      <c r="CB40" s="1382"/>
    </row>
    <row r="41" spans="1:80">
      <c r="A41">
        <f t="shared" si="37"/>
        <v>21</v>
      </c>
      <c r="B41" s="217"/>
      <c r="C41" s="214"/>
      <c r="D41" s="699">
        <f t="shared" si="38"/>
        <v>0</v>
      </c>
      <c r="E41" s="626"/>
      <c r="F41" s="900"/>
      <c r="G41" s="702"/>
      <c r="H41" s="693"/>
      <c r="I41" s="694"/>
      <c r="J41" s="1113"/>
      <c r="K41" s="1114"/>
      <c r="L41" s="1109"/>
      <c r="M41" s="689"/>
      <c r="N41" s="629"/>
      <c r="O41" s="629"/>
      <c r="P41" s="638">
        <f t="shared" si="39"/>
        <v>0.03</v>
      </c>
      <c r="Q41" s="629"/>
      <c r="R41" s="673" t="str">
        <f t="shared" si="40"/>
        <v>-</v>
      </c>
      <c r="S41" s="649"/>
      <c r="T41" s="647"/>
      <c r="U41" s="827"/>
      <c r="V41" s="670"/>
      <c r="W41" s="798">
        <f t="shared" si="41"/>
        <v>0</v>
      </c>
      <c r="X41" s="656">
        <f>IF(OR(E41=0,F41=0),0,IF(E41='2. AWARDS'!F$7,VLOOKUP(F41,'2. AWARDS'!$C$9:$F$35,4,FALSE),IF(E41='2. AWARDS'!G$7,VLOOKUP(F41,'2. AWARDS'!$C$9:$G$35,5,FALSE),IF(E41='2. AWARDS'!H$7,VLOOKUP(F41,'2. AWARDS'!$C$9:$H$35,6,FALSE),IF(E41='2. AWARDS'!I$7,VLOOKUP(F41,'2. AWARDS'!$C$9:$I$35,7,FALSE),VLOOKUP(F41,'2. AWARDS'!$C$9:$J$35,8,FALSE))))))</f>
        <v>0</v>
      </c>
      <c r="Y41" s="980">
        <f>IF(OR(E41=0,F41=0),0,IF(AND(N41=0,E41='2. AWARDS'!F$7,VLOOKUP(F41,'2. AWARDS'!$C$9:$O$35,9,FALSE)&lt;&gt;0),"date missing",IF(AND(N41=0,E41='2. AWARDS'!G$7,VLOOKUP(F41,'2. AWARDS'!$C$9:$O$35,10,FALSE)&lt;&gt;0),"date missing",IF(AND(N41=0,E41='2. AWARDS'!H$7,VLOOKUP(F41,'2. AWARDS'!$C$9:$O$35,11,FALSE)&lt;&gt;0),"date missing",IF(AND(N41=0,E41='2. AWARDS'!I$7,VLOOKUP(F41,'2. AWARDS'!$C$9:$O$35,12,FALSE)&lt;&gt;0),"date missing",IF(AND(N41=0,E41='2. AWARDS'!J$7,VLOOKUP(F41,'2. AWARDS'!$C$9:$O$35,13,FALSE)&lt;&gt;0),"date missing",IF(N41=0,0,IF(OR(N41=MIN(O41,Q41),AND(N41&lt;O41,N41&lt;Q41,N41&gt;0)),IF(E41='2. AWARDS'!F$7,VLOOKUP(F41,'2. AWARDS'!$C$9:$O$35,9,FALSE),IF(E41='2. AWARDS'!G$7,VLOOKUP(F41,'2. AWARDS'!$C$9:$O$35,10,FALSE),IF(E41='2. AWARDS'!H$7,VLOOKUP(F41,'2. AWARDS'!$C$9:$O$35,11,FALSE),IF(E41='2. AWARDS'!I$7,VLOOKUP(F41,'2. AWARDS'!$C$9:$O$35,12,FALSE),IF(E41='2. AWARDS'!J$7,VLOOKUP(F41,'2. AWARDS'!$C$9:$O$35,13,FALSE)))))),IF(AND(N41&gt;O41,N41&lt;Q41),IF(E41='2. AWARDS'!F$7,(1+P41)*VLOOKUP(F41,'2. AWARDS'!$C$9:$O$35,9,FALSE),IF(E41='2. AWARDS'!G$7,(1+P41)*VLOOKUP(F41,'2. AWARDS'!$C$9:$O$35,10,FALSE),IF(E41='2. AWARDS'!H$7,(1+P41)*VLOOKUP(F41,'2. AWARDS'!$C$9:$O$35,11,FALSE),IF(E41='2. AWARDS'!I$7,(1+P41)*VLOOKUP(F41,'2. AWARDS'!$C$9:$O$35,12,FALSE),IF(E41='2. AWARDS'!J$7,(1+P41)*VLOOKUP(F41,'2. AWARDS'!$C$9:$O$35,13,FALSE)))))),IF(AND(N41&lt;O41,N41&gt;Q41),IF(E41='2. AWARDS'!F$7,(1+(R41/9))*VLOOKUP(F41,'2. AWARDS'!$C$9:$O$35,9,FALSE),IF(E41='2. AWARDS'!G$7,(1+(R41/9))*VLOOKUP(F41,'2. AWARDS'!$C$9:$O$35,10,FALSE),IF(E41='2. AWARDS'!H$7,(1+(R41/9))*VLOOKUP(F41,'2. AWARDS'!$C$9:$O$35,11,FALSE),IF(E41='2. AWARDS'!I$7,(1+(R41/9))*VLOOKUP(F41,'2. AWARDS'!$C$9:$O$35,12,FALSE),IF(E41='2. AWARDS'!J$7,(1+(R41/9))*VLOOKUP(F41,'2. AWARDS'!$C$9:$O$35,13,FALSE)))))),IF(OR(N41=MAX(O41,Q41),AND(N41&gt;O41,N41&gt;Q41)),IF(E41='2. AWARDS'!F$7,((1+(R41/9))*(1+P41))*VLOOKUP(F41,'2. AWARDS'!$C$9:$O$35,9,FALSE),IF(E41='2. AWARDS'!G$7,((1+(R41/9))*(1+P41))*VLOOKUP(F41,'2. AWARDS'!$C$9:$O$35,10,FALSE),IF(E41='2. AWARDS'!H$7,((1+(R41/9))*(1+P41))*VLOOKUP(F41,'2. AWARDS'!$C$9:$O$35,11,FALSE),IF(E41='2. AWARDS'!I$7,((1+(R41/9))*(1+P41))*VLOOKUP(F41,'2. AWARDS'!$C$9:$O$35,12,FALSE),IF(E41='2. AWARDS'!J$7,((1+(R41/9))*(1+P41))*VLOOKUP(F41,'2. AWARDS'!$C$9:$O$35,13,FALSE)))))),"?")))))))))))</f>
        <v>0</v>
      </c>
      <c r="Z41" s="1093" t="e">
        <f>IF(AND(E41='2. AWARDS'!F27,O41&gt;N41,O41&gt;Q41,VLOOKUP(F41,'2. AWARDS'!$C$9:$O$35,9,FALSE)&lt;&gt;0),VLOOKUP(F41,'2. AWARDS'!$C$9:$O$35,9,FALSE)*(1+P41)*(1+(R41/9)),IF(AND(E41='2. AWARDS'!F27,O41&gt;N41,O41&gt;Q41,VLOOKUP(F41,'2. AWARDS'!$C$9:$O$35,9,FALSE)=0),X41*(1+P41)*(1+(R41/9)),IF(AND(E41='2. AWARDS'!G27,O41&gt;N41,O41&gt;Q41,VLOOKUP(F41,'2. AWARDS'!$C$9:$O$35,10,FALSE)&lt;&gt;0),VLOOKUP(F41,'2. AWARDS'!$C$9:$O$35,10,FALSE)*(1+P41)*(1+(R41/9)),IF(AND(E41='2. AWARDS'!G27,O41&gt;N41,O41&gt;Q41,VLOOKUP(F41,'2. AWARDS'!$C$9:$O$35,10,FALSE)=0),X41*(1+P41)*(1+(R41/9)),IF(AND(E41='2. AWARDS'!H27,O41&gt;N41,O41&gt;Q41,VLOOKUP(F41,'2. AWARDS'!$C$9:$O$35,11,FALSE)&lt;&gt;0),VLOOKUP(F41,'2. AWARDS'!$C$9:$O$35,11,FALSE)*(1+P41)*(1+(R41/9)),IF(AND(E41='2. AWARDS'!H27,O41&gt;N41,O41&gt;Q41,VLOOKUP(F41,'2. AWARDS'!$C$9:$O$35,11,FALSE)=0),X41*(1+P41)*(1+(R41/9)),IF(AND(E41='2. AWARDS'!I27,O41&gt;N41,O41&gt;Q41,VLOOKUP(F41,'2. AWARDS'!$C$9:$O$35,12,FALSE)&lt;&gt;0),VLOOKUP(F41,'2. AWARDS'!$C$9:$O$35,12,FALSE)*(1+P41)*(1+(R41/9)),IF(AND(E41='2. AWARDS'!I27,O41&gt;N41,O41&gt;Q41,VLOOKUP(F41,'2. AWARDS'!$C$9:$O$35,12,FALSE)=0),X41*(1+P41)*(1+(R41/9)),IF(AND(E41='2. AWARDS'!J27,O41&gt;N41,O41&gt;Q41,VLOOKUP(F41,'2. AWARDS'!$C$9:$O$35,13,FALSE)&lt;&gt;0),VLOOKUP(F41,'2. AWARDS'!$C$9:$O$35,13,FALSE)*(1+P41)*(1+(R41/9)),IF(AND(E41='2. AWARDS'!J27,O41&gt;N41,O41&gt;Q41,VLOOKUP(F41,'2. AWARDS'!$C$9:$O$35,13,FALSE)=0),X41*(1+P41)*(1+(R41/9)),IF(AND(O41&lt;N41,O41&gt;Q41),X41*(1+P41)*(1+(R41/9)),IF(AND(E41='2. AWARDS'!F27,O41=MAX(N41,Q41),VLOOKUP(F41,'2. AWARDS'!$C$9:$O$35,9,FALSE)&lt;&gt;0),VLOOKUP(F41,'2. AWARDS'!$C$9:$O$35,9,FALSE)*(1+P41)*(1+(R41/9)),IF(AND(E41='2. AWARDS'!F27,O41=MAX(N41,Q41),VLOOKUP(F41,'2. AWARDS'!$C$9:$O$35,9,FALSE)=0),X41*(1+P41)*(1+(R41/9)),IF(AND(E41='2. AWARDS'!G27,O41=MAX(N41,Q41),VLOOKUP(F41,'2. AWARDS'!$C$9:$O$35,10,FALSE)&lt;&gt;0),VLOOKUP(F41,'2. AWARDS'!$C$9:$O$35,10,FALSE)*(1+P41)*(1+(R41/9)),IF(AND(E41='2. AWARDS'!G27,O41=MAX(N41,Q41),VLOOKUP(F41,'2. AWARDS'!$C$9:$O$35,10,FALSE)=0),X41*(1+P41)*(1+(R41/9)),IF(AND(E41='2. AWARDS'!H27,O41=MAX(N41,Q41),VLOOKUP(F41,'2. AWARDS'!$C$9:$O$35,11,FALSE)&lt;&gt;0),VLOOKUP(F41,'2. AWARDS'!$C$9:$O$35,11,FALSE)*(1+P41)*(1+(R41/9)),IF(AND(E41='2. AWARDS'!H27,O41=MAX(N41,Q41),VLOOKUP(F41,'2. AWARDS'!$C$9:$O$35,11,FALSE)=0),X41*(1+P41)*(1+(R41/9)),IF(AND(E41='2. AWARDS'!I27,O41=MAX(N41,Q41),VLOOKUP(F41,'2. AWARDS'!$C$9:$O$35,12,FALSE)&lt;&gt;0),VLOOKUP(F41,'2. AWARDS'!$C$9:$O$35,12,FALSE)*(1+P41)*(1+(R41/9)),IF(AND(E41='2. AWARDS'!I27,O41=MAX(N41,Q41),VLOOKUP(F41,'2. AWARDS'!$C$9:$O$35,12,FALSE)=0),X41*(1+P41)*(1+(R41/9)),IF(AND(E41='2. AWARDS'!J27,O41=MAX(N41,Q41),VLOOKUP(F41,'2. AWARDS'!$C$9:$O$35,13,FALSE)&lt;&gt;0),VLOOKUP(F41,'2. AWARDS'!$C$9:$O$35,13,FALSE)*(1+P41)*(1+(R41/9)),IF(AND(E41='2. AWARDS'!J27,O41=MAX(N41,Q41),VLOOKUP(F41,'2. AWARDS'!$C$9:$O$35,13,FALSE)=0),X41*(1+P41)*(1+(R41/9)),IF(AND(O41&lt;N41,O41&lt;Q41),X41*(1+P41),IF(AND(O41=N41,N41&lt;Q41,E41='2. AWARDS'!F27),VLOOKUP(F41,'2. AWARDS'!$C$9:$O$35,9,FALSE)*(1+P41),IF(AND(O41=N41,N41&lt;Q41,E41='2. AWARDS'!G27),VLOOKUP(F41,'2. AWARDS'!$C$9:$O$35,10,FALSE)*(1+P41),IF(AND(O41=N41,N41&lt;Q41,E41='2. AWARDS'!H27),VLOOKUP(F41,'2. AWARDS'!$C$9:$O$35,11,FALSE)*(1+P41),IF(AND(O41=N41,N41&lt;Q41,E41='2. AWARDS'!I27),VLOOKUP(F41,'2. AWARDS'!$C$9:$O$35,12,FALSE)*(1+P41),IF(AND(O41=N41,N41&lt;Q41,E41='2. AWARDS'!J27),VLOOKUP(F41,'2. AWARDS'!$C$9:$O$35,13,FALSE)*(1+P41),IF(AND(O41=Q41,N41&gt;Q41),X41*(1+P41)*(1+(R41/9)),IF(AND(E41='2. AWARDS'!F27,O41&gt;N41,O41&lt;Q41,VLOOKUP(F41,'2. AWARDS'!$C$9:$O$35,9,FALSE)&lt;&gt;0),VLOOKUP(F41,'2. AWARDS'!$C$9:$O$35,9,FALSE)*(1+P41),IF(AND(E41='2. AWARDS'!G27,O41&gt;N41,O41&lt;Q41,VLOOKUP(F41,'2. AWARDS'!$C$9:$O$35,10,FALSE)&lt;&gt;0),VLOOKUP(F41,'2. AWARDS'!$C$9:$O$35,10,FALSE)*(1+P41),IF(AND(E41='2. AWARDS'!H27,O41&gt;N41,O41&lt;Q41,VLOOKUP(F41,'2. AWARDS'!$C$9:$O$35,11,FALSE)&lt;&gt;0),VLOOKUP(F41,'2. AWARDS'!$C$9:$O$35,11,FALSE)*(1+P41),IF(AND(E41='2. AWARDS'!I27,O41&gt;N41,O41&lt;Q41,VLOOKUP(F41,'2. AWARDS'!$C$9:$O$35,12,FALSE)&lt;&gt;0),VLOOKUP(F41,'2. AWARDS'!$C$9:$O$35,12,FALSE)*(1+P41),IF(AND(E41='2. AWARDS'!J27,O41&gt;N41,O41&lt;Q41,VLOOKUP(F41,'2. AWARDS'!$C$9:$O$35,13,FALSE)&lt;&gt;0),VLOOKUP(F41,'2. AWARDS'!$C$9:$O$35,13,FALSE)*(1+P41),X41*(1+P41))))))))))))))))))))))))))))))))))</f>
        <v>#N/A</v>
      </c>
      <c r="AA41" s="661" t="e">
        <f t="shared" si="42"/>
        <v>#N/A</v>
      </c>
      <c r="AB41" s="683"/>
      <c r="AC41" s="774"/>
      <c r="AD41" s="774"/>
      <c r="AE41" s="777"/>
      <c r="AF41" s="781">
        <f t="shared" si="43"/>
        <v>0</v>
      </c>
      <c r="AG41" s="781" t="e">
        <f>HLOOKUP(E41,'2. AWARDS'!$F$7:$J$40,32,FALSE)/5*HLOOKUP(E41,'2. AWARDS'!$F$7:$J$40,31,FALSE)*MAX(W41:AA41)*M41*HLOOKUP(E41,'2. AWARDS'!$F$7:$J$40,34,FALSE)*(L41/(38*2))</f>
        <v>#N/A</v>
      </c>
      <c r="AH41" s="783" t="e">
        <f>((HLOOKUP(E41,'2. AWARDS'!$F$7:$J$42,36,FALSE)/HLOOKUP(E41,'2. AWARDS'!$F$7:$J$42,35,FALSE)*HLOOKUP(E41,'2. AWARDS'!$F$7:$J$45,39,FALSE))/(HLOOKUP(E41,'2. AWARDS'!$F$7:$J$45,31,FALSE)*2)*L41*M41*HLOOKUP(E41,'2. AWARDS'!$F$7:$J$45,31,FALSE)*MAX(W41:AA41))</f>
        <v>#N/A</v>
      </c>
      <c r="AI41" s="474"/>
      <c r="AJ41" s="804"/>
      <c r="AK41" s="801"/>
      <c r="AL41" s="801"/>
      <c r="AM41" s="802"/>
      <c r="AN41" s="1012"/>
      <c r="AO41" s="836">
        <f>IF(AJ41="YES",HLOOKUP(E41,'2. AWARDS'!$F$7:$J$38,32,FALSE)/5*HLOOKUP(E41,'2. AWARDS'!$F$7:$J$37,31,FALSE)*L41/(HLOOKUP(E41,'2. AWARDS'!$F$7:$J$37,31,FALSE)*2)*M41*MAX(W41:AA41)*(1+HLOOKUP(E41,'2. AWARDS'!$F$7:$J$43,37,FALSE))*(1-AM41),0)</f>
        <v>0</v>
      </c>
      <c r="AP41" s="836">
        <f>IF(AK41="YES",HLOOKUP(E41,'2. AWARDS'!$F$7:$J$39,33,FALSE)/5*HLOOKUP(E41,'2. AWARDS'!$F$7:$J$37,31,FALSE)*L41/(HLOOKUP(E41,'2. AWARDS'!$F$7:$J$37,31,FALSE)*2)*M41*MAX(W41:AA41)*(1+HLOOKUP(E41,'2. AWARDS'!$F$7:$J$43,37,FALSE))*(1-AM41),0)</f>
        <v>0</v>
      </c>
      <c r="AQ41" s="838">
        <f>IF(AL41="YES",HLOOKUP(E41,'2. AWARDS'!$F$7:$J$47,40,FALSE)/5*HLOOKUP(E41,'2. AWARDS'!$F$7:$J$37,31,FALSE)*L41/(HLOOKUP(E41,'2. AWARDS'!$F$7:$J$37,31,FALSE)*2)*M41*MAX(W41:AA41)*(1+HLOOKUP(E41,'2. AWARDS'!$F$7:$J$43,37,FALSE))*(1-AM41),0)</f>
        <v>0</v>
      </c>
      <c r="AR41" s="839">
        <f>(IF(AJ41="YES",HLOOKUP(E41,'2. AWARDS'!$F$7:$J$39,32,FALSE),0)+IF(AK41="YES",HLOOKUP(E41,'2. AWARDS'!$F$7:$J$39,33,FALSE),0)+IF(AL41="YES",HLOOKUP(E41,'2. AWARDS'!$F$7:$J$47,40,FALSE),0))*L41/76*7.6*AM41*AN41*M41</f>
        <v>0</v>
      </c>
      <c r="AS41" s="683"/>
      <c r="AT41" s="802">
        <f>'1. KEY DATA'!J$29</f>
        <v>0</v>
      </c>
      <c r="AU41" s="822">
        <f>'1. KEY DATA'!J$30</f>
        <v>0.09</v>
      </c>
      <c r="AV41" s="502"/>
      <c r="AW41" s="478">
        <f t="shared" si="44"/>
        <v>0</v>
      </c>
      <c r="AX41" s="502"/>
      <c r="AY41" s="998"/>
      <c r="AZ41" s="999"/>
      <c r="BA41" s="999"/>
      <c r="BB41" s="999"/>
      <c r="BC41" s="999"/>
      <c r="BD41" s="999"/>
      <c r="BE41" s="999"/>
      <c r="BF41" s="999"/>
      <c r="BG41" s="999"/>
      <c r="BH41" s="999"/>
      <c r="BI41" s="1392"/>
      <c r="BJ41" s="1393"/>
      <c r="BK41" s="1393"/>
      <c r="BL41" s="1394"/>
      <c r="BM41" s="301">
        <f t="shared" si="45"/>
        <v>1</v>
      </c>
      <c r="BO41" s="244">
        <f t="shared" si="46"/>
        <v>0</v>
      </c>
      <c r="BP41" s="245">
        <f t="shared" si="47"/>
        <v>0</v>
      </c>
      <c r="BQ41" s="245">
        <f t="shared" si="48"/>
        <v>0</v>
      </c>
      <c r="BR41" s="245">
        <f t="shared" si="49"/>
        <v>0</v>
      </c>
      <c r="BS41" s="245">
        <f t="shared" si="50"/>
        <v>0</v>
      </c>
      <c r="BT41" s="245">
        <f t="shared" si="51"/>
        <v>0</v>
      </c>
      <c r="BU41" s="245">
        <f t="shared" si="52"/>
        <v>0</v>
      </c>
      <c r="BV41" s="245">
        <f t="shared" si="53"/>
        <v>0</v>
      </c>
      <c r="BW41" s="245">
        <f t="shared" si="54"/>
        <v>0</v>
      </c>
      <c r="BX41" s="246">
        <f t="shared" si="55"/>
        <v>0</v>
      </c>
      <c r="BY41" s="1380"/>
      <c r="BZ41" s="1381"/>
      <c r="CA41" s="1381"/>
      <c r="CB41" s="1382"/>
    </row>
    <row r="42" spans="1:80">
      <c r="A42">
        <f>A34+1</f>
        <v>22</v>
      </c>
      <c r="B42" s="217"/>
      <c r="C42" s="214"/>
      <c r="D42" s="699">
        <f>D34</f>
        <v>0</v>
      </c>
      <c r="E42" s="626"/>
      <c r="F42" s="900"/>
      <c r="G42" s="702"/>
      <c r="H42" s="693"/>
      <c r="I42" s="694"/>
      <c r="J42" s="1113"/>
      <c r="K42" s="1114"/>
      <c r="L42" s="1109"/>
      <c r="M42" s="689"/>
      <c r="N42" s="629"/>
      <c r="O42" s="629"/>
      <c r="P42" s="638">
        <f>P34</f>
        <v>0.03</v>
      </c>
      <c r="Q42" s="629"/>
      <c r="R42" s="673" t="str">
        <f t="shared" si="17"/>
        <v>-</v>
      </c>
      <c r="S42" s="649"/>
      <c r="T42" s="647"/>
      <c r="U42" s="827"/>
      <c r="V42" s="670"/>
      <c r="W42" s="798">
        <f t="shared" si="18"/>
        <v>0</v>
      </c>
      <c r="X42" s="656">
        <f>IF(OR(E42=0,F42=0),0,IF(E42='2. AWARDS'!F$7,VLOOKUP(F42,'2. AWARDS'!$C$9:$F$35,4,FALSE),IF(E42='2. AWARDS'!G$7,VLOOKUP(F42,'2. AWARDS'!$C$9:$G$35,5,FALSE),IF(E42='2. AWARDS'!H$7,VLOOKUP(F42,'2. AWARDS'!$C$9:$H$35,6,FALSE),IF(E42='2. AWARDS'!I$7,VLOOKUP(F42,'2. AWARDS'!$C$9:$I$35,7,FALSE),VLOOKUP(F42,'2. AWARDS'!$C$9:$J$35,8,FALSE))))))</f>
        <v>0</v>
      </c>
      <c r="Y42" s="980">
        <f>IF(OR(E42=0,F42=0),0,IF(AND(N42=0,E42='2. AWARDS'!F$7,VLOOKUP(F42,'2. AWARDS'!$C$9:$O$35,9,FALSE)&lt;&gt;0),"date missing",IF(AND(N42=0,E42='2. AWARDS'!G$7,VLOOKUP(F42,'2. AWARDS'!$C$9:$O$35,10,FALSE)&lt;&gt;0),"date missing",IF(AND(N42=0,E42='2. AWARDS'!H$7,VLOOKUP(F42,'2. AWARDS'!$C$9:$O$35,11,FALSE)&lt;&gt;0),"date missing",IF(AND(N42=0,E42='2. AWARDS'!I$7,VLOOKUP(F42,'2. AWARDS'!$C$9:$O$35,12,FALSE)&lt;&gt;0),"date missing",IF(AND(N42=0,E42='2. AWARDS'!J$7,VLOOKUP(F42,'2. AWARDS'!$C$9:$O$35,13,FALSE)&lt;&gt;0),"date missing",IF(N42=0,0,IF(OR(N42=MIN(O42,Q42),AND(N42&lt;O42,N42&lt;Q42,N42&gt;0)),IF(E42='2. AWARDS'!F$7,VLOOKUP(F42,'2. AWARDS'!$C$9:$O$35,9,FALSE),IF(E42='2. AWARDS'!G$7,VLOOKUP(F42,'2. AWARDS'!$C$9:$O$35,10,FALSE),IF(E42='2. AWARDS'!H$7,VLOOKUP(F42,'2. AWARDS'!$C$9:$O$35,11,FALSE),IF(E42='2. AWARDS'!I$7,VLOOKUP(F42,'2. AWARDS'!$C$9:$O$35,12,FALSE),IF(E42='2. AWARDS'!J$7,VLOOKUP(F42,'2. AWARDS'!$C$9:$O$35,13,FALSE)))))),IF(AND(N42&gt;O42,N42&lt;Q42),IF(E42='2. AWARDS'!F$7,(1+P42)*VLOOKUP(F42,'2. AWARDS'!$C$9:$O$35,9,FALSE),IF(E42='2. AWARDS'!G$7,(1+P42)*VLOOKUP(F42,'2. AWARDS'!$C$9:$O$35,10,FALSE),IF(E42='2. AWARDS'!H$7,(1+P42)*VLOOKUP(F42,'2. AWARDS'!$C$9:$O$35,11,FALSE),IF(E42='2. AWARDS'!I$7,(1+P42)*VLOOKUP(F42,'2. AWARDS'!$C$9:$O$35,12,FALSE),IF(E42='2. AWARDS'!J$7,(1+P42)*VLOOKUP(F42,'2. AWARDS'!$C$9:$O$35,13,FALSE)))))),IF(AND(N42&lt;O42,N42&gt;Q42),IF(E42='2. AWARDS'!F$7,(1+(R42/9))*VLOOKUP(F42,'2. AWARDS'!$C$9:$O$35,9,FALSE),IF(E42='2. AWARDS'!G$7,(1+(R42/9))*VLOOKUP(F42,'2. AWARDS'!$C$9:$O$35,10,FALSE),IF(E42='2. AWARDS'!H$7,(1+(R42/9))*VLOOKUP(F42,'2. AWARDS'!$C$9:$O$35,11,FALSE),IF(E42='2. AWARDS'!I$7,(1+(R42/9))*VLOOKUP(F42,'2. AWARDS'!$C$9:$O$35,12,FALSE),IF(E42='2. AWARDS'!J$7,(1+(R42/9))*VLOOKUP(F42,'2. AWARDS'!$C$9:$O$35,13,FALSE)))))),IF(OR(N42=MAX(O42,Q42),AND(N42&gt;O42,N42&gt;Q42)),IF(E42='2. AWARDS'!F$7,((1+(R42/9))*(1+P42))*VLOOKUP(F42,'2. AWARDS'!$C$9:$O$35,9,FALSE),IF(E42='2. AWARDS'!G$7,((1+(R42/9))*(1+P42))*VLOOKUP(F42,'2. AWARDS'!$C$9:$O$35,10,FALSE),IF(E42='2. AWARDS'!H$7,((1+(R42/9))*(1+P42))*VLOOKUP(F42,'2. AWARDS'!$C$9:$O$35,11,FALSE),IF(E42='2. AWARDS'!I$7,((1+(R42/9))*(1+P42))*VLOOKUP(F42,'2. AWARDS'!$C$9:$O$35,12,FALSE),IF(E42='2. AWARDS'!J$7,((1+(R42/9))*(1+P42))*VLOOKUP(F42,'2. AWARDS'!$C$9:$O$35,13,FALSE)))))),"?")))))))))))</f>
        <v>0</v>
      </c>
      <c r="Z42" s="1093" t="e">
        <f>IF(AND(E42='2. AWARDS'!F28,O42&gt;N42,O42&gt;Q42,VLOOKUP(F42,'2. AWARDS'!$C$9:$O$35,9,FALSE)&lt;&gt;0),VLOOKUP(F42,'2. AWARDS'!$C$9:$O$35,9,FALSE)*(1+P42)*(1+(R42/9)),IF(AND(E42='2. AWARDS'!F28,O42&gt;N42,O42&gt;Q42,VLOOKUP(F42,'2. AWARDS'!$C$9:$O$35,9,FALSE)=0),X42*(1+P42)*(1+(R42/9)),IF(AND(E42='2. AWARDS'!G28,O42&gt;N42,O42&gt;Q42,VLOOKUP(F42,'2. AWARDS'!$C$9:$O$35,10,FALSE)&lt;&gt;0),VLOOKUP(F42,'2. AWARDS'!$C$9:$O$35,10,FALSE)*(1+P42)*(1+(R42/9)),IF(AND(E42='2. AWARDS'!G28,O42&gt;N42,O42&gt;Q42,VLOOKUP(F42,'2. AWARDS'!$C$9:$O$35,10,FALSE)=0),X42*(1+P42)*(1+(R42/9)),IF(AND(E42='2. AWARDS'!H28,O42&gt;N42,O42&gt;Q42,VLOOKUP(F42,'2. AWARDS'!$C$9:$O$35,11,FALSE)&lt;&gt;0),VLOOKUP(F42,'2. AWARDS'!$C$9:$O$35,11,FALSE)*(1+P42)*(1+(R42/9)),IF(AND(E42='2. AWARDS'!H28,O42&gt;N42,O42&gt;Q42,VLOOKUP(F42,'2. AWARDS'!$C$9:$O$35,11,FALSE)=0),X42*(1+P42)*(1+(R42/9)),IF(AND(E42='2. AWARDS'!I28,O42&gt;N42,O42&gt;Q42,VLOOKUP(F42,'2. AWARDS'!$C$9:$O$35,12,FALSE)&lt;&gt;0),VLOOKUP(F42,'2. AWARDS'!$C$9:$O$35,12,FALSE)*(1+P42)*(1+(R42/9)),IF(AND(E42='2. AWARDS'!I28,O42&gt;N42,O42&gt;Q42,VLOOKUP(F42,'2. AWARDS'!$C$9:$O$35,12,FALSE)=0),X42*(1+P42)*(1+(R42/9)),IF(AND(E42='2. AWARDS'!J28,O42&gt;N42,O42&gt;Q42,VLOOKUP(F42,'2. AWARDS'!$C$9:$O$35,13,FALSE)&lt;&gt;0),VLOOKUP(F42,'2. AWARDS'!$C$9:$O$35,13,FALSE)*(1+P42)*(1+(R42/9)),IF(AND(E42='2. AWARDS'!J28,O42&gt;N42,O42&gt;Q42,VLOOKUP(F42,'2. AWARDS'!$C$9:$O$35,13,FALSE)=0),X42*(1+P42)*(1+(R42/9)),IF(AND(O42&lt;N42,O42&gt;Q42),X42*(1+P42)*(1+(R42/9)),IF(AND(E42='2. AWARDS'!F28,O42=MAX(N42,Q42),VLOOKUP(F42,'2. AWARDS'!$C$9:$O$35,9,FALSE)&lt;&gt;0),VLOOKUP(F42,'2. AWARDS'!$C$9:$O$35,9,FALSE)*(1+P42)*(1+(R42/9)),IF(AND(E42='2. AWARDS'!F28,O42=MAX(N42,Q42),VLOOKUP(F42,'2. AWARDS'!$C$9:$O$35,9,FALSE)=0),X42*(1+P42)*(1+(R42/9)),IF(AND(E42='2. AWARDS'!G28,O42=MAX(N42,Q42),VLOOKUP(F42,'2. AWARDS'!$C$9:$O$35,10,FALSE)&lt;&gt;0),VLOOKUP(F42,'2. AWARDS'!$C$9:$O$35,10,FALSE)*(1+P42)*(1+(R42/9)),IF(AND(E42='2. AWARDS'!G28,O42=MAX(N42,Q42),VLOOKUP(F42,'2. AWARDS'!$C$9:$O$35,10,FALSE)=0),X42*(1+P42)*(1+(R42/9)),IF(AND(E42='2. AWARDS'!H28,O42=MAX(N42,Q42),VLOOKUP(F42,'2. AWARDS'!$C$9:$O$35,11,FALSE)&lt;&gt;0),VLOOKUP(F42,'2. AWARDS'!$C$9:$O$35,11,FALSE)*(1+P42)*(1+(R42/9)),IF(AND(E42='2. AWARDS'!H28,O42=MAX(N42,Q42),VLOOKUP(F42,'2. AWARDS'!$C$9:$O$35,11,FALSE)=0),X42*(1+P42)*(1+(R42/9)),IF(AND(E42='2. AWARDS'!I28,O42=MAX(N42,Q42),VLOOKUP(F42,'2. AWARDS'!$C$9:$O$35,12,FALSE)&lt;&gt;0),VLOOKUP(F42,'2. AWARDS'!$C$9:$O$35,12,FALSE)*(1+P42)*(1+(R42/9)),IF(AND(E42='2. AWARDS'!I28,O42=MAX(N42,Q42),VLOOKUP(F42,'2. AWARDS'!$C$9:$O$35,12,FALSE)=0),X42*(1+P42)*(1+(R42/9)),IF(AND(E42='2. AWARDS'!J28,O42=MAX(N42,Q42),VLOOKUP(F42,'2. AWARDS'!$C$9:$O$35,13,FALSE)&lt;&gt;0),VLOOKUP(F42,'2. AWARDS'!$C$9:$O$35,13,FALSE)*(1+P42)*(1+(R42/9)),IF(AND(E42='2. AWARDS'!J28,O42=MAX(N42,Q42),VLOOKUP(F42,'2. AWARDS'!$C$9:$O$35,13,FALSE)=0),X42*(1+P42)*(1+(R42/9)),IF(AND(O42&lt;N42,O42&lt;Q42),X42*(1+P42),IF(AND(O42=N42,N42&lt;Q42,E42='2. AWARDS'!F28),VLOOKUP(F42,'2. AWARDS'!$C$9:$O$35,9,FALSE)*(1+P42),IF(AND(O42=N42,N42&lt;Q42,E42='2. AWARDS'!G28),VLOOKUP(F42,'2. AWARDS'!$C$9:$O$35,10,FALSE)*(1+P42),IF(AND(O42=N42,N42&lt;Q42,E42='2. AWARDS'!H28),VLOOKUP(F42,'2. AWARDS'!$C$9:$O$35,11,FALSE)*(1+P42),IF(AND(O42=N42,N42&lt;Q42,E42='2. AWARDS'!I28),VLOOKUP(F42,'2. AWARDS'!$C$9:$O$35,12,FALSE)*(1+P42),IF(AND(O42=N42,N42&lt;Q42,E42='2. AWARDS'!J28),VLOOKUP(F42,'2. AWARDS'!$C$9:$O$35,13,FALSE)*(1+P42),IF(AND(O42=Q42,N42&gt;Q42),X42*(1+P42)*(1+(R42/9)),IF(AND(E42='2. AWARDS'!F28,O42&gt;N42,O42&lt;Q42,VLOOKUP(F42,'2. AWARDS'!$C$9:$O$35,9,FALSE)&lt;&gt;0),VLOOKUP(F42,'2. AWARDS'!$C$9:$O$35,9,FALSE)*(1+P42),IF(AND(E42='2. AWARDS'!G28,O42&gt;N42,O42&lt;Q42,VLOOKUP(F42,'2. AWARDS'!$C$9:$O$35,10,FALSE)&lt;&gt;0),VLOOKUP(F42,'2. AWARDS'!$C$9:$O$35,10,FALSE)*(1+P42),IF(AND(E42='2. AWARDS'!H28,O42&gt;N42,O42&lt;Q42,VLOOKUP(F42,'2. AWARDS'!$C$9:$O$35,11,FALSE)&lt;&gt;0),VLOOKUP(F42,'2. AWARDS'!$C$9:$O$35,11,FALSE)*(1+P42),IF(AND(E42='2. AWARDS'!I28,O42&gt;N42,O42&lt;Q42,VLOOKUP(F42,'2. AWARDS'!$C$9:$O$35,12,FALSE)&lt;&gt;0),VLOOKUP(F42,'2. AWARDS'!$C$9:$O$35,12,FALSE)*(1+P42),IF(AND(E42='2. AWARDS'!J28,O42&gt;N42,O42&lt;Q42,VLOOKUP(F42,'2. AWARDS'!$C$9:$O$35,13,FALSE)&lt;&gt;0),VLOOKUP(F42,'2. AWARDS'!$C$9:$O$35,13,FALSE)*(1+P42),X42*(1+P42))))))))))))))))))))))))))))))))))</f>
        <v>#N/A</v>
      </c>
      <c r="AA42" s="661" t="e">
        <f t="shared" si="35"/>
        <v>#N/A</v>
      </c>
      <c r="AB42" s="683"/>
      <c r="AC42" s="774"/>
      <c r="AD42" s="774"/>
      <c r="AE42" s="777"/>
      <c r="AF42" s="781">
        <f t="shared" si="20"/>
        <v>0</v>
      </c>
      <c r="AG42" s="781" t="e">
        <f>HLOOKUP(E42,'2. AWARDS'!$F$7:$J$40,32,FALSE)/5*HLOOKUP(E42,'2. AWARDS'!$F$7:$J$40,31,FALSE)*MAX(W42:AA42)*M42*HLOOKUP(E42,'2. AWARDS'!$F$7:$J$40,34,FALSE)*(L42/(38*2))</f>
        <v>#N/A</v>
      </c>
      <c r="AH42" s="783" t="e">
        <f>((HLOOKUP(E42,'2. AWARDS'!$F$7:$J$42,36,FALSE)/HLOOKUP(E42,'2. AWARDS'!$F$7:$J$42,35,FALSE)*HLOOKUP(E42,'2. AWARDS'!$F$7:$J$45,39,FALSE))/(HLOOKUP(E42,'2. AWARDS'!$F$7:$J$45,31,FALSE)*2)*L42*M42*HLOOKUP(E42,'2. AWARDS'!$F$7:$J$45,31,FALSE)*MAX(W42:AA42))</f>
        <v>#N/A</v>
      </c>
      <c r="AI42" s="474"/>
      <c r="AJ42" s="804"/>
      <c r="AK42" s="801"/>
      <c r="AL42" s="801"/>
      <c r="AM42" s="802"/>
      <c r="AN42" s="1012"/>
      <c r="AO42" s="836">
        <f>IF(AJ42="YES",HLOOKUP(E42,'2. AWARDS'!$F$7:$J$38,32,FALSE)/5*HLOOKUP(E42,'2. AWARDS'!$F$7:$J$37,31,FALSE)*L42/(HLOOKUP(E42,'2. AWARDS'!$F$7:$J$37,31,FALSE)*2)*M42*MAX(W42:AA42)*(1+HLOOKUP(E42,'2. AWARDS'!$F$7:$J$43,37,FALSE))*(1-AM42),0)</f>
        <v>0</v>
      </c>
      <c r="AP42" s="836">
        <f>IF(AK42="YES",HLOOKUP(E42,'2. AWARDS'!$F$7:$J$39,33,FALSE)/5*HLOOKUP(E42,'2. AWARDS'!$F$7:$J$37,31,FALSE)*L42/(HLOOKUP(E42,'2. AWARDS'!$F$7:$J$37,31,FALSE)*2)*M42*MAX(W42:AA42)*(1+HLOOKUP(E42,'2. AWARDS'!$F$7:$J$43,37,FALSE))*(1-AM42),0)</f>
        <v>0</v>
      </c>
      <c r="AQ42" s="838">
        <f>IF(AL42="YES",HLOOKUP(E42,'2. AWARDS'!$F$7:$J$47,40,FALSE)/5*HLOOKUP(E42,'2. AWARDS'!$F$7:$J$37,31,FALSE)*L42/(HLOOKUP(E42,'2. AWARDS'!$F$7:$J$37,31,FALSE)*2)*M42*MAX(W42:AA42)*(1+HLOOKUP(E42,'2. AWARDS'!$F$7:$J$43,37,FALSE))*(1-AM42),0)</f>
        <v>0</v>
      </c>
      <c r="AR42" s="839">
        <f>(IF(AJ42="YES",HLOOKUP(E42,'2. AWARDS'!$F$7:$J$39,32,FALSE),0)+IF(AK42="YES",HLOOKUP(E42,'2. AWARDS'!$F$7:$J$39,33,FALSE),0)+IF(AL42="YES",HLOOKUP(E42,'2. AWARDS'!$F$7:$J$47,40,FALSE),0))*L42/76*7.6*AM42*AN42*M42</f>
        <v>0</v>
      </c>
      <c r="AS42" s="683"/>
      <c r="AT42" s="802">
        <f>'1. KEY DATA'!J$29</f>
        <v>0</v>
      </c>
      <c r="AU42" s="822">
        <f>'1. KEY DATA'!J$30</f>
        <v>0.09</v>
      </c>
      <c r="AV42" s="502"/>
      <c r="AW42" s="478">
        <f t="shared" si="21"/>
        <v>0</v>
      </c>
      <c r="AX42" s="502"/>
      <c r="AY42" s="998"/>
      <c r="AZ42" s="999"/>
      <c r="BA42" s="999"/>
      <c r="BB42" s="999"/>
      <c r="BC42" s="999"/>
      <c r="BD42" s="999"/>
      <c r="BE42" s="999"/>
      <c r="BF42" s="999"/>
      <c r="BG42" s="999"/>
      <c r="BH42" s="999"/>
      <c r="BI42" s="1392"/>
      <c r="BJ42" s="1393"/>
      <c r="BK42" s="1393"/>
      <c r="BL42" s="1394"/>
      <c r="BM42" s="301">
        <f t="shared" si="22"/>
        <v>1</v>
      </c>
      <c r="BO42" s="244">
        <f t="shared" si="23"/>
        <v>0</v>
      </c>
      <c r="BP42" s="245">
        <f t="shared" si="24"/>
        <v>0</v>
      </c>
      <c r="BQ42" s="245">
        <f t="shared" si="25"/>
        <v>0</v>
      </c>
      <c r="BR42" s="245">
        <f t="shared" si="26"/>
        <v>0</v>
      </c>
      <c r="BS42" s="245">
        <f t="shared" si="27"/>
        <v>0</v>
      </c>
      <c r="BT42" s="245">
        <f t="shared" si="28"/>
        <v>0</v>
      </c>
      <c r="BU42" s="245">
        <f t="shared" si="29"/>
        <v>0</v>
      </c>
      <c r="BV42" s="245">
        <f t="shared" si="30"/>
        <v>0</v>
      </c>
      <c r="BW42" s="245">
        <f t="shared" si="31"/>
        <v>0</v>
      </c>
      <c r="BX42" s="246">
        <f t="shared" si="32"/>
        <v>0</v>
      </c>
      <c r="BY42" s="1380"/>
      <c r="BZ42" s="1381"/>
      <c r="CA42" s="1381"/>
      <c r="CB42" s="1382"/>
    </row>
    <row r="43" spans="1:80">
      <c r="A43">
        <f>A42+1</f>
        <v>23</v>
      </c>
      <c r="B43" s="217"/>
      <c r="C43" s="214"/>
      <c r="D43" s="699">
        <f t="shared" si="33"/>
        <v>0</v>
      </c>
      <c r="E43" s="626"/>
      <c r="F43" s="900"/>
      <c r="G43" s="702"/>
      <c r="H43" s="693"/>
      <c r="I43" s="694"/>
      <c r="J43" s="1113"/>
      <c r="K43" s="1114"/>
      <c r="L43" s="1109"/>
      <c r="M43" s="689"/>
      <c r="N43" s="629"/>
      <c r="O43" s="629"/>
      <c r="P43" s="638">
        <f t="shared" si="36"/>
        <v>0.03</v>
      </c>
      <c r="Q43" s="629"/>
      <c r="R43" s="673" t="str">
        <f t="shared" si="17"/>
        <v>-</v>
      </c>
      <c r="S43" s="649"/>
      <c r="T43" s="647"/>
      <c r="U43" s="827"/>
      <c r="V43" s="670"/>
      <c r="W43" s="798">
        <f t="shared" si="18"/>
        <v>0</v>
      </c>
      <c r="X43" s="656">
        <f>IF(OR(E43=0,F43=0),0,IF(E43='2. AWARDS'!F$7,VLOOKUP(F43,'2. AWARDS'!$C$9:$F$35,4,FALSE),IF(E43='2. AWARDS'!G$7,VLOOKUP(F43,'2. AWARDS'!$C$9:$G$35,5,FALSE),IF(E43='2. AWARDS'!H$7,VLOOKUP(F43,'2. AWARDS'!$C$9:$H$35,6,FALSE),IF(E43='2. AWARDS'!I$7,VLOOKUP(F43,'2. AWARDS'!$C$9:$I$35,7,FALSE),VLOOKUP(F43,'2. AWARDS'!$C$9:$J$35,8,FALSE))))))</f>
        <v>0</v>
      </c>
      <c r="Y43" s="980">
        <f>IF(OR(E43=0,F43=0),0,IF(AND(N43=0,E43='2. AWARDS'!F$7,VLOOKUP(F43,'2. AWARDS'!$C$9:$O$35,9,FALSE)&lt;&gt;0),"date missing",IF(AND(N43=0,E43='2. AWARDS'!G$7,VLOOKUP(F43,'2. AWARDS'!$C$9:$O$35,10,FALSE)&lt;&gt;0),"date missing",IF(AND(N43=0,E43='2. AWARDS'!H$7,VLOOKUP(F43,'2. AWARDS'!$C$9:$O$35,11,FALSE)&lt;&gt;0),"date missing",IF(AND(N43=0,E43='2. AWARDS'!I$7,VLOOKUP(F43,'2. AWARDS'!$C$9:$O$35,12,FALSE)&lt;&gt;0),"date missing",IF(AND(N43=0,E43='2. AWARDS'!J$7,VLOOKUP(F43,'2. AWARDS'!$C$9:$O$35,13,FALSE)&lt;&gt;0),"date missing",IF(N43=0,0,IF(OR(N43=MIN(O43,Q43),AND(N43&lt;O43,N43&lt;Q43,N43&gt;0)),IF(E43='2. AWARDS'!F$7,VLOOKUP(F43,'2. AWARDS'!$C$9:$O$35,9,FALSE),IF(E43='2. AWARDS'!G$7,VLOOKUP(F43,'2. AWARDS'!$C$9:$O$35,10,FALSE),IF(E43='2. AWARDS'!H$7,VLOOKUP(F43,'2. AWARDS'!$C$9:$O$35,11,FALSE),IF(E43='2. AWARDS'!I$7,VLOOKUP(F43,'2. AWARDS'!$C$9:$O$35,12,FALSE),IF(E43='2. AWARDS'!J$7,VLOOKUP(F43,'2. AWARDS'!$C$9:$O$35,13,FALSE)))))),IF(AND(N43&gt;O43,N43&lt;Q43),IF(E43='2. AWARDS'!F$7,(1+P43)*VLOOKUP(F43,'2. AWARDS'!$C$9:$O$35,9,FALSE),IF(E43='2. AWARDS'!G$7,(1+P43)*VLOOKUP(F43,'2. AWARDS'!$C$9:$O$35,10,FALSE),IF(E43='2. AWARDS'!H$7,(1+P43)*VLOOKUP(F43,'2. AWARDS'!$C$9:$O$35,11,FALSE),IF(E43='2. AWARDS'!I$7,(1+P43)*VLOOKUP(F43,'2. AWARDS'!$C$9:$O$35,12,FALSE),IF(E43='2. AWARDS'!J$7,(1+P43)*VLOOKUP(F43,'2. AWARDS'!$C$9:$O$35,13,FALSE)))))),IF(AND(N43&lt;O43,N43&gt;Q43),IF(E43='2. AWARDS'!F$7,(1+(R43/9))*VLOOKUP(F43,'2. AWARDS'!$C$9:$O$35,9,FALSE),IF(E43='2. AWARDS'!G$7,(1+(R43/9))*VLOOKUP(F43,'2. AWARDS'!$C$9:$O$35,10,FALSE),IF(E43='2. AWARDS'!H$7,(1+(R43/9))*VLOOKUP(F43,'2. AWARDS'!$C$9:$O$35,11,FALSE),IF(E43='2. AWARDS'!I$7,(1+(R43/9))*VLOOKUP(F43,'2. AWARDS'!$C$9:$O$35,12,FALSE),IF(E43='2. AWARDS'!J$7,(1+(R43/9))*VLOOKUP(F43,'2. AWARDS'!$C$9:$O$35,13,FALSE)))))),IF(OR(N43=MAX(O43,Q43),AND(N43&gt;O43,N43&gt;Q43)),IF(E43='2. AWARDS'!F$7,((1+(R43/9))*(1+P43))*VLOOKUP(F43,'2. AWARDS'!$C$9:$O$35,9,FALSE),IF(E43='2. AWARDS'!G$7,((1+(R43/9))*(1+P43))*VLOOKUP(F43,'2. AWARDS'!$C$9:$O$35,10,FALSE),IF(E43='2. AWARDS'!H$7,((1+(R43/9))*(1+P43))*VLOOKUP(F43,'2. AWARDS'!$C$9:$O$35,11,FALSE),IF(E43='2. AWARDS'!I$7,((1+(R43/9))*(1+P43))*VLOOKUP(F43,'2. AWARDS'!$C$9:$O$35,12,FALSE),IF(E43='2. AWARDS'!J$7,((1+(R43/9))*(1+P43))*VLOOKUP(F43,'2. AWARDS'!$C$9:$O$35,13,FALSE)))))),"?")))))))))))</f>
        <v>0</v>
      </c>
      <c r="Z43" s="1093" t="e">
        <f>IF(AND(E43='2. AWARDS'!F29,O43&gt;N43,O43&gt;Q43,VLOOKUP(F43,'2. AWARDS'!$C$9:$O$35,9,FALSE)&lt;&gt;0),VLOOKUP(F43,'2. AWARDS'!$C$9:$O$35,9,FALSE)*(1+P43)*(1+(R43/9)),IF(AND(E43='2. AWARDS'!F29,O43&gt;N43,O43&gt;Q43,VLOOKUP(F43,'2. AWARDS'!$C$9:$O$35,9,FALSE)=0),X43*(1+P43)*(1+(R43/9)),IF(AND(E43='2. AWARDS'!G29,O43&gt;N43,O43&gt;Q43,VLOOKUP(F43,'2. AWARDS'!$C$9:$O$35,10,FALSE)&lt;&gt;0),VLOOKUP(F43,'2. AWARDS'!$C$9:$O$35,10,FALSE)*(1+P43)*(1+(R43/9)),IF(AND(E43='2. AWARDS'!G29,O43&gt;N43,O43&gt;Q43,VLOOKUP(F43,'2. AWARDS'!$C$9:$O$35,10,FALSE)=0),X43*(1+P43)*(1+(R43/9)),IF(AND(E43='2. AWARDS'!H29,O43&gt;N43,O43&gt;Q43,VLOOKUP(F43,'2. AWARDS'!$C$9:$O$35,11,FALSE)&lt;&gt;0),VLOOKUP(F43,'2. AWARDS'!$C$9:$O$35,11,FALSE)*(1+P43)*(1+(R43/9)),IF(AND(E43='2. AWARDS'!H29,O43&gt;N43,O43&gt;Q43,VLOOKUP(F43,'2. AWARDS'!$C$9:$O$35,11,FALSE)=0),X43*(1+P43)*(1+(R43/9)),IF(AND(E43='2. AWARDS'!I29,O43&gt;N43,O43&gt;Q43,VLOOKUP(F43,'2. AWARDS'!$C$9:$O$35,12,FALSE)&lt;&gt;0),VLOOKUP(F43,'2. AWARDS'!$C$9:$O$35,12,FALSE)*(1+P43)*(1+(R43/9)),IF(AND(E43='2. AWARDS'!I29,O43&gt;N43,O43&gt;Q43,VLOOKUP(F43,'2. AWARDS'!$C$9:$O$35,12,FALSE)=0),X43*(1+P43)*(1+(R43/9)),IF(AND(E43='2. AWARDS'!J29,O43&gt;N43,O43&gt;Q43,VLOOKUP(F43,'2. AWARDS'!$C$9:$O$35,13,FALSE)&lt;&gt;0),VLOOKUP(F43,'2. AWARDS'!$C$9:$O$35,13,FALSE)*(1+P43)*(1+(R43/9)),IF(AND(E43='2. AWARDS'!J29,O43&gt;N43,O43&gt;Q43,VLOOKUP(F43,'2. AWARDS'!$C$9:$O$35,13,FALSE)=0),X43*(1+P43)*(1+(R43/9)),IF(AND(O43&lt;N43,O43&gt;Q43),X43*(1+P43)*(1+(R43/9)),IF(AND(E43='2. AWARDS'!F29,O43=MAX(N43,Q43),VLOOKUP(F43,'2. AWARDS'!$C$9:$O$35,9,FALSE)&lt;&gt;0),VLOOKUP(F43,'2. AWARDS'!$C$9:$O$35,9,FALSE)*(1+P43)*(1+(R43/9)),IF(AND(E43='2. AWARDS'!F29,O43=MAX(N43,Q43),VLOOKUP(F43,'2. AWARDS'!$C$9:$O$35,9,FALSE)=0),X43*(1+P43)*(1+(R43/9)),IF(AND(E43='2. AWARDS'!G29,O43=MAX(N43,Q43),VLOOKUP(F43,'2. AWARDS'!$C$9:$O$35,10,FALSE)&lt;&gt;0),VLOOKUP(F43,'2. AWARDS'!$C$9:$O$35,10,FALSE)*(1+P43)*(1+(R43/9)),IF(AND(E43='2. AWARDS'!G29,O43=MAX(N43,Q43),VLOOKUP(F43,'2. AWARDS'!$C$9:$O$35,10,FALSE)=0),X43*(1+P43)*(1+(R43/9)),IF(AND(E43='2. AWARDS'!H29,O43=MAX(N43,Q43),VLOOKUP(F43,'2. AWARDS'!$C$9:$O$35,11,FALSE)&lt;&gt;0),VLOOKUP(F43,'2. AWARDS'!$C$9:$O$35,11,FALSE)*(1+P43)*(1+(R43/9)),IF(AND(E43='2. AWARDS'!H29,O43=MAX(N43,Q43),VLOOKUP(F43,'2. AWARDS'!$C$9:$O$35,11,FALSE)=0),X43*(1+P43)*(1+(R43/9)),IF(AND(E43='2. AWARDS'!I29,O43=MAX(N43,Q43),VLOOKUP(F43,'2. AWARDS'!$C$9:$O$35,12,FALSE)&lt;&gt;0),VLOOKUP(F43,'2. AWARDS'!$C$9:$O$35,12,FALSE)*(1+P43)*(1+(R43/9)),IF(AND(E43='2. AWARDS'!I29,O43=MAX(N43,Q43),VLOOKUP(F43,'2. AWARDS'!$C$9:$O$35,12,FALSE)=0),X43*(1+P43)*(1+(R43/9)),IF(AND(E43='2. AWARDS'!J29,O43=MAX(N43,Q43),VLOOKUP(F43,'2. AWARDS'!$C$9:$O$35,13,FALSE)&lt;&gt;0),VLOOKUP(F43,'2. AWARDS'!$C$9:$O$35,13,FALSE)*(1+P43)*(1+(R43/9)),IF(AND(E43='2. AWARDS'!J29,O43=MAX(N43,Q43),VLOOKUP(F43,'2. AWARDS'!$C$9:$O$35,13,FALSE)=0),X43*(1+P43)*(1+(R43/9)),IF(AND(O43&lt;N43,O43&lt;Q43),X43*(1+P43),IF(AND(O43=N43,N43&lt;Q43,E43='2. AWARDS'!F29),VLOOKUP(F43,'2. AWARDS'!$C$9:$O$35,9,FALSE)*(1+P43),IF(AND(O43=N43,N43&lt;Q43,E43='2. AWARDS'!G29),VLOOKUP(F43,'2. AWARDS'!$C$9:$O$35,10,FALSE)*(1+P43),IF(AND(O43=N43,N43&lt;Q43,E43='2. AWARDS'!H29),VLOOKUP(F43,'2. AWARDS'!$C$9:$O$35,11,FALSE)*(1+P43),IF(AND(O43=N43,N43&lt;Q43,E43='2. AWARDS'!I29),VLOOKUP(F43,'2. AWARDS'!$C$9:$O$35,12,FALSE)*(1+P43),IF(AND(O43=N43,N43&lt;Q43,E43='2. AWARDS'!J29),VLOOKUP(F43,'2. AWARDS'!$C$9:$O$35,13,FALSE)*(1+P43),IF(AND(O43=Q43,N43&gt;Q43),X43*(1+P43)*(1+(R43/9)),IF(AND(E43='2. AWARDS'!F29,O43&gt;N43,O43&lt;Q43,VLOOKUP(F43,'2. AWARDS'!$C$9:$O$35,9,FALSE)&lt;&gt;0),VLOOKUP(F43,'2. AWARDS'!$C$9:$O$35,9,FALSE)*(1+P43),IF(AND(E43='2. AWARDS'!G29,O43&gt;N43,O43&lt;Q43,VLOOKUP(F43,'2. AWARDS'!$C$9:$O$35,10,FALSE)&lt;&gt;0),VLOOKUP(F43,'2. AWARDS'!$C$9:$O$35,10,FALSE)*(1+P43),IF(AND(E43='2. AWARDS'!H29,O43&gt;N43,O43&lt;Q43,VLOOKUP(F43,'2. AWARDS'!$C$9:$O$35,11,FALSE)&lt;&gt;0),VLOOKUP(F43,'2. AWARDS'!$C$9:$O$35,11,FALSE)*(1+P43),IF(AND(E43='2. AWARDS'!I29,O43&gt;N43,O43&lt;Q43,VLOOKUP(F43,'2. AWARDS'!$C$9:$O$35,12,FALSE)&lt;&gt;0),VLOOKUP(F43,'2. AWARDS'!$C$9:$O$35,12,FALSE)*(1+P43),IF(AND(E43='2. AWARDS'!J29,O43&gt;N43,O43&lt;Q43,VLOOKUP(F43,'2. AWARDS'!$C$9:$O$35,13,FALSE)&lt;&gt;0),VLOOKUP(F43,'2. AWARDS'!$C$9:$O$35,13,FALSE)*(1+P43),X43*(1+P43))))))))))))))))))))))))))))))))))</f>
        <v>#N/A</v>
      </c>
      <c r="AA43" s="661" t="e">
        <f t="shared" si="35"/>
        <v>#N/A</v>
      </c>
      <c r="AB43" s="683"/>
      <c r="AC43" s="774"/>
      <c r="AD43" s="774"/>
      <c r="AE43" s="777"/>
      <c r="AF43" s="781">
        <f t="shared" si="20"/>
        <v>0</v>
      </c>
      <c r="AG43" s="781" t="e">
        <f>HLOOKUP(E43,'2. AWARDS'!$F$7:$J$40,32,FALSE)/5*HLOOKUP(E43,'2. AWARDS'!$F$7:$J$40,31,FALSE)*MAX(W43:AA43)*M43*HLOOKUP(E43,'2. AWARDS'!$F$7:$J$40,34,FALSE)*(L43/(38*2))</f>
        <v>#N/A</v>
      </c>
      <c r="AH43" s="783" t="e">
        <f>((HLOOKUP(E43,'2. AWARDS'!$F$7:$J$42,36,FALSE)/HLOOKUP(E43,'2. AWARDS'!$F$7:$J$42,35,FALSE)*HLOOKUP(E43,'2. AWARDS'!$F$7:$J$45,39,FALSE))/(HLOOKUP(E43,'2. AWARDS'!$F$7:$J$45,31,FALSE)*2)*L43*M43*HLOOKUP(E43,'2. AWARDS'!$F$7:$J$45,31,FALSE)*MAX(W43:AA43))</f>
        <v>#N/A</v>
      </c>
      <c r="AI43" s="474"/>
      <c r="AJ43" s="804"/>
      <c r="AK43" s="801"/>
      <c r="AL43" s="801"/>
      <c r="AM43" s="802"/>
      <c r="AN43" s="1012"/>
      <c r="AO43" s="836">
        <f>IF(AJ43="YES",HLOOKUP(E43,'2. AWARDS'!$F$7:$J$38,32,FALSE)/5*HLOOKUP(E43,'2. AWARDS'!$F$7:$J$37,31,FALSE)*L43/(HLOOKUP(E43,'2. AWARDS'!$F$7:$J$37,31,FALSE)*2)*M43*MAX(W43:AA43)*(1+HLOOKUP(E43,'2. AWARDS'!$F$7:$J$43,37,FALSE))*(1-AM43),0)</f>
        <v>0</v>
      </c>
      <c r="AP43" s="836">
        <f>IF(AK43="YES",HLOOKUP(E43,'2. AWARDS'!$F$7:$J$39,33,FALSE)/5*HLOOKUP(E43,'2. AWARDS'!$F$7:$J$37,31,FALSE)*L43/(HLOOKUP(E43,'2. AWARDS'!$F$7:$J$37,31,FALSE)*2)*M43*MAX(W43:AA43)*(1+HLOOKUP(E43,'2. AWARDS'!$F$7:$J$43,37,FALSE))*(1-AM43),0)</f>
        <v>0</v>
      </c>
      <c r="AQ43" s="838">
        <f>IF(AL43="YES",HLOOKUP(E43,'2. AWARDS'!$F$7:$J$47,40,FALSE)/5*HLOOKUP(E43,'2. AWARDS'!$F$7:$J$37,31,FALSE)*L43/(HLOOKUP(E43,'2. AWARDS'!$F$7:$J$37,31,FALSE)*2)*M43*MAX(W43:AA43)*(1+HLOOKUP(E43,'2. AWARDS'!$F$7:$J$43,37,FALSE))*(1-AM43),0)</f>
        <v>0</v>
      </c>
      <c r="AR43" s="839">
        <f>(IF(AJ43="YES",HLOOKUP(E43,'2. AWARDS'!$F$7:$J$39,32,FALSE),0)+IF(AK43="YES",HLOOKUP(E43,'2. AWARDS'!$F$7:$J$39,33,FALSE),0)+IF(AL43="YES",HLOOKUP(E43,'2. AWARDS'!$F$7:$J$47,40,FALSE),0))*L43/76*7.6*AM43*AN43*M43</f>
        <v>0</v>
      </c>
      <c r="AS43" s="683"/>
      <c r="AT43" s="802">
        <f>'1. KEY DATA'!J$29</f>
        <v>0</v>
      </c>
      <c r="AU43" s="823">
        <f>'1. KEY DATA'!J$30</f>
        <v>0.09</v>
      </c>
      <c r="AV43" s="502"/>
      <c r="AW43" s="478">
        <f t="shared" si="21"/>
        <v>0</v>
      </c>
      <c r="AX43" s="502"/>
      <c r="AY43" s="998"/>
      <c r="AZ43" s="999"/>
      <c r="BA43" s="999"/>
      <c r="BB43" s="999"/>
      <c r="BC43" s="999"/>
      <c r="BD43" s="999"/>
      <c r="BE43" s="999"/>
      <c r="BF43" s="999"/>
      <c r="BG43" s="999"/>
      <c r="BH43" s="999"/>
      <c r="BI43" s="1392"/>
      <c r="BJ43" s="1393"/>
      <c r="BK43" s="1393"/>
      <c r="BL43" s="1394"/>
      <c r="BM43" s="301">
        <f t="shared" si="22"/>
        <v>1</v>
      </c>
      <c r="BO43" s="244">
        <f t="shared" si="23"/>
        <v>0</v>
      </c>
      <c r="BP43" s="245">
        <f t="shared" si="24"/>
        <v>0</v>
      </c>
      <c r="BQ43" s="245">
        <f t="shared" si="25"/>
        <v>0</v>
      </c>
      <c r="BR43" s="245">
        <f t="shared" si="26"/>
        <v>0</v>
      </c>
      <c r="BS43" s="245">
        <f t="shared" si="27"/>
        <v>0</v>
      </c>
      <c r="BT43" s="245">
        <f t="shared" si="28"/>
        <v>0</v>
      </c>
      <c r="BU43" s="245">
        <f t="shared" si="29"/>
        <v>0</v>
      </c>
      <c r="BV43" s="245">
        <f t="shared" si="30"/>
        <v>0</v>
      </c>
      <c r="BW43" s="245">
        <f t="shared" si="31"/>
        <v>0</v>
      </c>
      <c r="BX43" s="246">
        <f t="shared" si="32"/>
        <v>0</v>
      </c>
      <c r="BY43" s="1380"/>
      <c r="BZ43" s="1381"/>
      <c r="CA43" s="1381"/>
      <c r="CB43" s="1382"/>
    </row>
    <row r="44" spans="1:80">
      <c r="A44">
        <f>A43+1</f>
        <v>24</v>
      </c>
      <c r="B44" s="217"/>
      <c r="C44" s="214"/>
      <c r="D44" s="699">
        <f t="shared" si="33"/>
        <v>0</v>
      </c>
      <c r="E44" s="626"/>
      <c r="F44" s="900"/>
      <c r="G44" s="702"/>
      <c r="H44" s="693"/>
      <c r="I44" s="694"/>
      <c r="J44" s="1113"/>
      <c r="K44" s="1114"/>
      <c r="L44" s="1109"/>
      <c r="M44" s="689"/>
      <c r="N44" s="629"/>
      <c r="O44" s="629"/>
      <c r="P44" s="638">
        <f t="shared" si="36"/>
        <v>0.03</v>
      </c>
      <c r="Q44" s="629"/>
      <c r="R44" s="673" t="str">
        <f t="shared" si="17"/>
        <v>-</v>
      </c>
      <c r="S44" s="649"/>
      <c r="T44" s="647"/>
      <c r="U44" s="827"/>
      <c r="V44" s="670"/>
      <c r="W44" s="798">
        <f t="shared" si="18"/>
        <v>0</v>
      </c>
      <c r="X44" s="656">
        <f>IF(OR(E44=0,F44=0),0,IF(E44='2. AWARDS'!F$7,VLOOKUP(F44,'2. AWARDS'!$C$9:$F$35,4,FALSE),IF(E44='2. AWARDS'!G$7,VLOOKUP(F44,'2. AWARDS'!$C$9:$G$35,5,FALSE),IF(E44='2. AWARDS'!H$7,VLOOKUP(F44,'2. AWARDS'!$C$9:$H$35,6,FALSE),IF(E44='2. AWARDS'!I$7,VLOOKUP(F44,'2. AWARDS'!$C$9:$I$35,7,FALSE),VLOOKUP(F44,'2. AWARDS'!$C$9:$J$35,8,FALSE))))))</f>
        <v>0</v>
      </c>
      <c r="Y44" s="980">
        <f>IF(OR(E44=0,F44=0),0,IF(AND(N44=0,E44='2. AWARDS'!F$7,VLOOKUP(F44,'2. AWARDS'!$C$9:$O$35,9,FALSE)&lt;&gt;0),"date missing",IF(AND(N44=0,E44='2. AWARDS'!G$7,VLOOKUP(F44,'2. AWARDS'!$C$9:$O$35,10,FALSE)&lt;&gt;0),"date missing",IF(AND(N44=0,E44='2. AWARDS'!H$7,VLOOKUP(F44,'2. AWARDS'!$C$9:$O$35,11,FALSE)&lt;&gt;0),"date missing",IF(AND(N44=0,E44='2. AWARDS'!I$7,VLOOKUP(F44,'2. AWARDS'!$C$9:$O$35,12,FALSE)&lt;&gt;0),"date missing",IF(AND(N44=0,E44='2. AWARDS'!J$7,VLOOKUP(F44,'2. AWARDS'!$C$9:$O$35,13,FALSE)&lt;&gt;0),"date missing",IF(N44=0,0,IF(OR(N44=MIN(O44,Q44),AND(N44&lt;O44,N44&lt;Q44,N44&gt;0)),IF(E44='2. AWARDS'!F$7,VLOOKUP(F44,'2. AWARDS'!$C$9:$O$35,9,FALSE),IF(E44='2. AWARDS'!G$7,VLOOKUP(F44,'2. AWARDS'!$C$9:$O$35,10,FALSE),IF(E44='2. AWARDS'!H$7,VLOOKUP(F44,'2. AWARDS'!$C$9:$O$35,11,FALSE),IF(E44='2. AWARDS'!I$7,VLOOKUP(F44,'2. AWARDS'!$C$9:$O$35,12,FALSE),IF(E44='2. AWARDS'!J$7,VLOOKUP(F44,'2. AWARDS'!$C$9:$O$35,13,FALSE)))))),IF(AND(N44&gt;O44,N44&lt;Q44),IF(E44='2. AWARDS'!F$7,(1+P44)*VLOOKUP(F44,'2. AWARDS'!$C$9:$O$35,9,FALSE),IF(E44='2. AWARDS'!G$7,(1+P44)*VLOOKUP(F44,'2. AWARDS'!$C$9:$O$35,10,FALSE),IF(E44='2. AWARDS'!H$7,(1+P44)*VLOOKUP(F44,'2. AWARDS'!$C$9:$O$35,11,FALSE),IF(E44='2. AWARDS'!I$7,(1+P44)*VLOOKUP(F44,'2. AWARDS'!$C$9:$O$35,12,FALSE),IF(E44='2. AWARDS'!J$7,(1+P44)*VLOOKUP(F44,'2. AWARDS'!$C$9:$O$35,13,FALSE)))))),IF(AND(N44&lt;O44,N44&gt;Q44),IF(E44='2. AWARDS'!F$7,(1+(R44/9))*VLOOKUP(F44,'2. AWARDS'!$C$9:$O$35,9,FALSE),IF(E44='2. AWARDS'!G$7,(1+(R44/9))*VLOOKUP(F44,'2. AWARDS'!$C$9:$O$35,10,FALSE),IF(E44='2. AWARDS'!H$7,(1+(R44/9))*VLOOKUP(F44,'2. AWARDS'!$C$9:$O$35,11,FALSE),IF(E44='2. AWARDS'!I$7,(1+(R44/9))*VLOOKUP(F44,'2. AWARDS'!$C$9:$O$35,12,FALSE),IF(E44='2. AWARDS'!J$7,(1+(R44/9))*VLOOKUP(F44,'2. AWARDS'!$C$9:$O$35,13,FALSE)))))),IF(OR(N44=MAX(O44,Q44),AND(N44&gt;O44,N44&gt;Q44)),IF(E44='2. AWARDS'!F$7,((1+(R44/9))*(1+P44))*VLOOKUP(F44,'2. AWARDS'!$C$9:$O$35,9,FALSE),IF(E44='2. AWARDS'!G$7,((1+(R44/9))*(1+P44))*VLOOKUP(F44,'2. AWARDS'!$C$9:$O$35,10,FALSE),IF(E44='2. AWARDS'!H$7,((1+(R44/9))*(1+P44))*VLOOKUP(F44,'2. AWARDS'!$C$9:$O$35,11,FALSE),IF(E44='2. AWARDS'!I$7,((1+(R44/9))*(1+P44))*VLOOKUP(F44,'2. AWARDS'!$C$9:$O$35,12,FALSE),IF(E44='2. AWARDS'!J$7,((1+(R44/9))*(1+P44))*VLOOKUP(F44,'2. AWARDS'!$C$9:$O$35,13,FALSE)))))),"?")))))))))))</f>
        <v>0</v>
      </c>
      <c r="Z44" s="1093" t="e">
        <f>IF(AND(E44='2. AWARDS'!F30,O44&gt;N44,O44&gt;Q44,VLOOKUP(F44,'2. AWARDS'!$C$9:$O$35,9,FALSE)&lt;&gt;0),VLOOKUP(F44,'2. AWARDS'!$C$9:$O$35,9,FALSE)*(1+P44)*(1+(R44/9)),IF(AND(E44='2. AWARDS'!F30,O44&gt;N44,O44&gt;Q44,VLOOKUP(F44,'2. AWARDS'!$C$9:$O$35,9,FALSE)=0),X44*(1+P44)*(1+(R44/9)),IF(AND(E44='2. AWARDS'!G30,O44&gt;N44,O44&gt;Q44,VLOOKUP(F44,'2. AWARDS'!$C$9:$O$35,10,FALSE)&lt;&gt;0),VLOOKUP(F44,'2. AWARDS'!$C$9:$O$35,10,FALSE)*(1+P44)*(1+(R44/9)),IF(AND(E44='2. AWARDS'!G30,O44&gt;N44,O44&gt;Q44,VLOOKUP(F44,'2. AWARDS'!$C$9:$O$35,10,FALSE)=0),X44*(1+P44)*(1+(R44/9)),IF(AND(E44='2. AWARDS'!H30,O44&gt;N44,O44&gt;Q44,VLOOKUP(F44,'2. AWARDS'!$C$9:$O$35,11,FALSE)&lt;&gt;0),VLOOKUP(F44,'2. AWARDS'!$C$9:$O$35,11,FALSE)*(1+P44)*(1+(R44/9)),IF(AND(E44='2. AWARDS'!H30,O44&gt;N44,O44&gt;Q44,VLOOKUP(F44,'2. AWARDS'!$C$9:$O$35,11,FALSE)=0),X44*(1+P44)*(1+(R44/9)),IF(AND(E44='2. AWARDS'!I30,O44&gt;N44,O44&gt;Q44,VLOOKUP(F44,'2. AWARDS'!$C$9:$O$35,12,FALSE)&lt;&gt;0),VLOOKUP(F44,'2. AWARDS'!$C$9:$O$35,12,FALSE)*(1+P44)*(1+(R44/9)),IF(AND(E44='2. AWARDS'!I30,O44&gt;N44,O44&gt;Q44,VLOOKUP(F44,'2. AWARDS'!$C$9:$O$35,12,FALSE)=0),X44*(1+P44)*(1+(R44/9)),IF(AND(E44='2. AWARDS'!J30,O44&gt;N44,O44&gt;Q44,VLOOKUP(F44,'2. AWARDS'!$C$9:$O$35,13,FALSE)&lt;&gt;0),VLOOKUP(F44,'2. AWARDS'!$C$9:$O$35,13,FALSE)*(1+P44)*(1+(R44/9)),IF(AND(E44='2. AWARDS'!J30,O44&gt;N44,O44&gt;Q44,VLOOKUP(F44,'2. AWARDS'!$C$9:$O$35,13,FALSE)=0),X44*(1+P44)*(1+(R44/9)),IF(AND(O44&lt;N44,O44&gt;Q44),X44*(1+P44)*(1+(R44/9)),IF(AND(E44='2. AWARDS'!F30,O44=MAX(N44,Q44),VLOOKUP(F44,'2. AWARDS'!$C$9:$O$35,9,FALSE)&lt;&gt;0),VLOOKUP(F44,'2. AWARDS'!$C$9:$O$35,9,FALSE)*(1+P44)*(1+(R44/9)),IF(AND(E44='2. AWARDS'!F30,O44=MAX(N44,Q44),VLOOKUP(F44,'2. AWARDS'!$C$9:$O$35,9,FALSE)=0),X44*(1+P44)*(1+(R44/9)),IF(AND(E44='2. AWARDS'!G30,O44=MAX(N44,Q44),VLOOKUP(F44,'2. AWARDS'!$C$9:$O$35,10,FALSE)&lt;&gt;0),VLOOKUP(F44,'2. AWARDS'!$C$9:$O$35,10,FALSE)*(1+P44)*(1+(R44/9)),IF(AND(E44='2. AWARDS'!G30,O44=MAX(N44,Q44),VLOOKUP(F44,'2. AWARDS'!$C$9:$O$35,10,FALSE)=0),X44*(1+P44)*(1+(R44/9)),IF(AND(E44='2. AWARDS'!H30,O44=MAX(N44,Q44),VLOOKUP(F44,'2. AWARDS'!$C$9:$O$35,11,FALSE)&lt;&gt;0),VLOOKUP(F44,'2. AWARDS'!$C$9:$O$35,11,FALSE)*(1+P44)*(1+(R44/9)),IF(AND(E44='2. AWARDS'!H30,O44=MAX(N44,Q44),VLOOKUP(F44,'2. AWARDS'!$C$9:$O$35,11,FALSE)=0),X44*(1+P44)*(1+(R44/9)),IF(AND(E44='2. AWARDS'!I30,O44=MAX(N44,Q44),VLOOKUP(F44,'2. AWARDS'!$C$9:$O$35,12,FALSE)&lt;&gt;0),VLOOKUP(F44,'2. AWARDS'!$C$9:$O$35,12,FALSE)*(1+P44)*(1+(R44/9)),IF(AND(E44='2. AWARDS'!I30,O44=MAX(N44,Q44),VLOOKUP(F44,'2. AWARDS'!$C$9:$O$35,12,FALSE)=0),X44*(1+P44)*(1+(R44/9)),IF(AND(E44='2. AWARDS'!J30,O44=MAX(N44,Q44),VLOOKUP(F44,'2. AWARDS'!$C$9:$O$35,13,FALSE)&lt;&gt;0),VLOOKUP(F44,'2. AWARDS'!$C$9:$O$35,13,FALSE)*(1+P44)*(1+(R44/9)),IF(AND(E44='2. AWARDS'!J30,O44=MAX(N44,Q44),VLOOKUP(F44,'2. AWARDS'!$C$9:$O$35,13,FALSE)=0),X44*(1+P44)*(1+(R44/9)),IF(AND(O44&lt;N44,O44&lt;Q44),X44*(1+P44),IF(AND(O44=N44,N44&lt;Q44,E44='2. AWARDS'!F30),VLOOKUP(F44,'2. AWARDS'!$C$9:$O$35,9,FALSE)*(1+P44),IF(AND(O44=N44,N44&lt;Q44,E44='2. AWARDS'!G30),VLOOKUP(F44,'2. AWARDS'!$C$9:$O$35,10,FALSE)*(1+P44),IF(AND(O44=N44,N44&lt;Q44,E44='2. AWARDS'!H30),VLOOKUP(F44,'2. AWARDS'!$C$9:$O$35,11,FALSE)*(1+P44),IF(AND(O44=N44,N44&lt;Q44,E44='2. AWARDS'!I30),VLOOKUP(F44,'2. AWARDS'!$C$9:$O$35,12,FALSE)*(1+P44),IF(AND(O44=N44,N44&lt;Q44,E44='2. AWARDS'!J30),VLOOKUP(F44,'2. AWARDS'!$C$9:$O$35,13,FALSE)*(1+P44),IF(AND(O44=Q44,N44&gt;Q44),X44*(1+P44)*(1+(R44/9)),IF(AND(E44='2. AWARDS'!F30,O44&gt;N44,O44&lt;Q44,VLOOKUP(F44,'2. AWARDS'!$C$9:$O$35,9,FALSE)&lt;&gt;0),VLOOKUP(F44,'2. AWARDS'!$C$9:$O$35,9,FALSE)*(1+P44),IF(AND(E44='2. AWARDS'!G30,O44&gt;N44,O44&lt;Q44,VLOOKUP(F44,'2. AWARDS'!$C$9:$O$35,10,FALSE)&lt;&gt;0),VLOOKUP(F44,'2. AWARDS'!$C$9:$O$35,10,FALSE)*(1+P44),IF(AND(E44='2. AWARDS'!H30,O44&gt;N44,O44&lt;Q44,VLOOKUP(F44,'2. AWARDS'!$C$9:$O$35,11,FALSE)&lt;&gt;0),VLOOKUP(F44,'2. AWARDS'!$C$9:$O$35,11,FALSE)*(1+P44),IF(AND(E44='2. AWARDS'!I30,O44&gt;N44,O44&lt;Q44,VLOOKUP(F44,'2. AWARDS'!$C$9:$O$35,12,FALSE)&lt;&gt;0),VLOOKUP(F44,'2. AWARDS'!$C$9:$O$35,12,FALSE)*(1+P44),IF(AND(E44='2. AWARDS'!J30,O44&gt;N44,O44&lt;Q44,VLOOKUP(F44,'2. AWARDS'!$C$9:$O$35,13,FALSE)&lt;&gt;0),VLOOKUP(F44,'2. AWARDS'!$C$9:$O$35,13,FALSE)*(1+P44),X44*(1+P44))))))))))))))))))))))))))))))))))</f>
        <v>#N/A</v>
      </c>
      <c r="AA44" s="661" t="e">
        <f t="shared" si="35"/>
        <v>#N/A</v>
      </c>
      <c r="AB44" s="683"/>
      <c r="AC44" s="774"/>
      <c r="AD44" s="774"/>
      <c r="AE44" s="777"/>
      <c r="AF44" s="781">
        <f t="shared" si="20"/>
        <v>0</v>
      </c>
      <c r="AG44" s="781" t="e">
        <f>HLOOKUP(E44,'2. AWARDS'!$F$7:$J$40,32,FALSE)/5*HLOOKUP(E44,'2. AWARDS'!$F$7:$J$40,31,FALSE)*MAX(W44:AA44)*M44*HLOOKUP(E44,'2. AWARDS'!$F$7:$J$40,34,FALSE)*(L44/(38*2))</f>
        <v>#N/A</v>
      </c>
      <c r="AH44" s="783" t="e">
        <f>((HLOOKUP(E44,'2. AWARDS'!$F$7:$J$42,36,FALSE)/HLOOKUP(E44,'2. AWARDS'!$F$7:$J$42,35,FALSE)*HLOOKUP(E44,'2. AWARDS'!$F$7:$J$45,39,FALSE))/(HLOOKUP(E44,'2. AWARDS'!$F$7:$J$45,31,FALSE)*2)*L44*M44*HLOOKUP(E44,'2. AWARDS'!$F$7:$J$45,31,FALSE)*MAX(W44:AA44))</f>
        <v>#N/A</v>
      </c>
      <c r="AI44" s="474"/>
      <c r="AJ44" s="804"/>
      <c r="AK44" s="801"/>
      <c r="AL44" s="801"/>
      <c r="AM44" s="802"/>
      <c r="AN44" s="1012"/>
      <c r="AO44" s="836">
        <f>IF(AJ44="YES",HLOOKUP(E44,'2. AWARDS'!$F$7:$J$38,32,FALSE)/5*HLOOKUP(E44,'2. AWARDS'!$F$7:$J$37,31,FALSE)*L44/(HLOOKUP(E44,'2. AWARDS'!$F$7:$J$37,31,FALSE)*2)*M44*MAX(W44:AA44)*(1+HLOOKUP(E44,'2. AWARDS'!$F$7:$J$43,37,FALSE))*(1-AM44),0)</f>
        <v>0</v>
      </c>
      <c r="AP44" s="836">
        <f>IF(AK44="YES",HLOOKUP(E44,'2. AWARDS'!$F$7:$J$39,33,FALSE)/5*HLOOKUP(E44,'2. AWARDS'!$F$7:$J$37,31,FALSE)*L44/(HLOOKUP(E44,'2. AWARDS'!$F$7:$J$37,31,FALSE)*2)*M44*MAX(W44:AA44)*(1+HLOOKUP(E44,'2. AWARDS'!$F$7:$J$43,37,FALSE))*(1-AM44),0)</f>
        <v>0</v>
      </c>
      <c r="AQ44" s="838">
        <f>IF(AL44="YES",HLOOKUP(E44,'2. AWARDS'!$F$7:$J$47,40,FALSE)/5*HLOOKUP(E44,'2. AWARDS'!$F$7:$J$37,31,FALSE)*L44/(HLOOKUP(E44,'2. AWARDS'!$F$7:$J$37,31,FALSE)*2)*M44*MAX(W44:AA44)*(1+HLOOKUP(E44,'2. AWARDS'!$F$7:$J$43,37,FALSE))*(1-AM44),0)</f>
        <v>0</v>
      </c>
      <c r="AR44" s="839">
        <f>(IF(AJ44="YES",HLOOKUP(E44,'2. AWARDS'!$F$7:$J$39,32,FALSE),0)+IF(AK44="YES",HLOOKUP(E44,'2. AWARDS'!$F$7:$J$39,33,FALSE),0)+IF(AL44="YES",HLOOKUP(E44,'2. AWARDS'!$F$7:$J$47,40,FALSE),0))*L44/76*7.6*AM44*AN44*M44</f>
        <v>0</v>
      </c>
      <c r="AS44" s="683"/>
      <c r="AT44" s="802">
        <f>'1. KEY DATA'!J$29</f>
        <v>0</v>
      </c>
      <c r="AU44" s="822">
        <f>'1. KEY DATA'!J$30</f>
        <v>0.09</v>
      </c>
      <c r="AV44" s="502"/>
      <c r="AW44" s="478">
        <f t="shared" si="21"/>
        <v>0</v>
      </c>
      <c r="AX44" s="502"/>
      <c r="AY44" s="998"/>
      <c r="AZ44" s="999"/>
      <c r="BA44" s="999"/>
      <c r="BB44" s="999"/>
      <c r="BC44" s="999"/>
      <c r="BD44" s="999"/>
      <c r="BE44" s="999"/>
      <c r="BF44" s="999"/>
      <c r="BG44" s="999"/>
      <c r="BH44" s="999"/>
      <c r="BI44" s="1392"/>
      <c r="BJ44" s="1393"/>
      <c r="BK44" s="1393"/>
      <c r="BL44" s="1394"/>
      <c r="BM44" s="301">
        <f t="shared" si="22"/>
        <v>1</v>
      </c>
      <c r="BO44" s="244">
        <f t="shared" si="23"/>
        <v>0</v>
      </c>
      <c r="BP44" s="245">
        <f t="shared" si="24"/>
        <v>0</v>
      </c>
      <c r="BQ44" s="245">
        <f t="shared" si="25"/>
        <v>0</v>
      </c>
      <c r="BR44" s="245">
        <f t="shared" si="26"/>
        <v>0</v>
      </c>
      <c r="BS44" s="245">
        <f t="shared" si="27"/>
        <v>0</v>
      </c>
      <c r="BT44" s="245">
        <f t="shared" si="28"/>
        <v>0</v>
      </c>
      <c r="BU44" s="245">
        <f t="shared" si="29"/>
        <v>0</v>
      </c>
      <c r="BV44" s="245">
        <f t="shared" si="30"/>
        <v>0</v>
      </c>
      <c r="BW44" s="245">
        <f t="shared" si="31"/>
        <v>0</v>
      </c>
      <c r="BX44" s="246">
        <f t="shared" si="32"/>
        <v>0</v>
      </c>
      <c r="BY44" s="1380"/>
      <c r="BZ44" s="1381"/>
      <c r="CA44" s="1381"/>
      <c r="CB44" s="1382"/>
    </row>
    <row r="45" spans="1:80">
      <c r="A45">
        <f t="shared" si="0"/>
        <v>25</v>
      </c>
      <c r="B45" s="217"/>
      <c r="C45" s="214"/>
      <c r="D45" s="699">
        <f t="shared" si="33"/>
        <v>0</v>
      </c>
      <c r="E45" s="626"/>
      <c r="F45" s="900"/>
      <c r="G45" s="702"/>
      <c r="H45" s="693"/>
      <c r="I45" s="694"/>
      <c r="J45" s="1113"/>
      <c r="K45" s="1114"/>
      <c r="L45" s="1109"/>
      <c r="M45" s="689"/>
      <c r="N45" s="629"/>
      <c r="O45" s="629"/>
      <c r="P45" s="638">
        <f t="shared" si="36"/>
        <v>0.03</v>
      </c>
      <c r="Q45" s="629"/>
      <c r="R45" s="673" t="str">
        <f t="shared" si="17"/>
        <v>-</v>
      </c>
      <c r="S45" s="649"/>
      <c r="T45" s="647"/>
      <c r="U45" s="827"/>
      <c r="V45" s="670"/>
      <c r="W45" s="798">
        <f t="shared" si="18"/>
        <v>0</v>
      </c>
      <c r="X45" s="656">
        <f>IF(OR(E45=0,F45=0),0,IF(E45='2. AWARDS'!F$7,VLOOKUP(F45,'2. AWARDS'!$C$9:$F$35,4,FALSE),IF(E45='2. AWARDS'!G$7,VLOOKUP(F45,'2. AWARDS'!$C$9:$G$35,5,FALSE),IF(E45='2. AWARDS'!H$7,VLOOKUP(F45,'2. AWARDS'!$C$9:$H$35,6,FALSE),IF(E45='2. AWARDS'!I$7,VLOOKUP(F45,'2. AWARDS'!$C$9:$I$35,7,FALSE),VLOOKUP(F45,'2. AWARDS'!$C$9:$J$35,8,FALSE))))))</f>
        <v>0</v>
      </c>
      <c r="Y45" s="980">
        <f>IF(OR(E45=0,F45=0),0,IF(AND(N45=0,E45='2. AWARDS'!F$7,VLOOKUP(F45,'2. AWARDS'!$C$9:$O$35,9,FALSE)&lt;&gt;0),"date missing",IF(AND(N45=0,E45='2. AWARDS'!G$7,VLOOKUP(F45,'2. AWARDS'!$C$9:$O$35,10,FALSE)&lt;&gt;0),"date missing",IF(AND(N45=0,E45='2. AWARDS'!H$7,VLOOKUP(F45,'2. AWARDS'!$C$9:$O$35,11,FALSE)&lt;&gt;0),"date missing",IF(AND(N45=0,E45='2. AWARDS'!I$7,VLOOKUP(F45,'2. AWARDS'!$C$9:$O$35,12,FALSE)&lt;&gt;0),"date missing",IF(AND(N45=0,E45='2. AWARDS'!J$7,VLOOKUP(F45,'2. AWARDS'!$C$9:$O$35,13,FALSE)&lt;&gt;0),"date missing",IF(N45=0,0,IF(OR(N45=MIN(O45,Q45),AND(N45&lt;O45,N45&lt;Q45,N45&gt;0)),IF(E45='2. AWARDS'!F$7,VLOOKUP(F45,'2. AWARDS'!$C$9:$O$35,9,FALSE),IF(E45='2. AWARDS'!G$7,VLOOKUP(F45,'2. AWARDS'!$C$9:$O$35,10,FALSE),IF(E45='2. AWARDS'!H$7,VLOOKUP(F45,'2. AWARDS'!$C$9:$O$35,11,FALSE),IF(E45='2. AWARDS'!I$7,VLOOKUP(F45,'2. AWARDS'!$C$9:$O$35,12,FALSE),IF(E45='2. AWARDS'!J$7,VLOOKUP(F45,'2. AWARDS'!$C$9:$O$35,13,FALSE)))))),IF(AND(N45&gt;O45,N45&lt;Q45),IF(E45='2. AWARDS'!F$7,(1+P45)*VLOOKUP(F45,'2. AWARDS'!$C$9:$O$35,9,FALSE),IF(E45='2. AWARDS'!G$7,(1+P45)*VLOOKUP(F45,'2. AWARDS'!$C$9:$O$35,10,FALSE),IF(E45='2. AWARDS'!H$7,(1+P45)*VLOOKUP(F45,'2. AWARDS'!$C$9:$O$35,11,FALSE),IF(E45='2. AWARDS'!I$7,(1+P45)*VLOOKUP(F45,'2. AWARDS'!$C$9:$O$35,12,FALSE),IF(E45='2. AWARDS'!J$7,(1+P45)*VLOOKUP(F45,'2. AWARDS'!$C$9:$O$35,13,FALSE)))))),IF(AND(N45&lt;O45,N45&gt;Q45),IF(E45='2. AWARDS'!F$7,(1+(R45/9))*VLOOKUP(F45,'2. AWARDS'!$C$9:$O$35,9,FALSE),IF(E45='2. AWARDS'!G$7,(1+(R45/9))*VLOOKUP(F45,'2. AWARDS'!$C$9:$O$35,10,FALSE),IF(E45='2. AWARDS'!H$7,(1+(R45/9))*VLOOKUP(F45,'2. AWARDS'!$C$9:$O$35,11,FALSE),IF(E45='2. AWARDS'!I$7,(1+(R45/9))*VLOOKUP(F45,'2. AWARDS'!$C$9:$O$35,12,FALSE),IF(E45='2. AWARDS'!J$7,(1+(R45/9))*VLOOKUP(F45,'2. AWARDS'!$C$9:$O$35,13,FALSE)))))),IF(OR(N45=MAX(O45,Q45),AND(N45&gt;O45,N45&gt;Q45)),IF(E45='2. AWARDS'!F$7,((1+(R45/9))*(1+P45))*VLOOKUP(F45,'2. AWARDS'!$C$9:$O$35,9,FALSE),IF(E45='2. AWARDS'!G$7,((1+(R45/9))*(1+P45))*VLOOKUP(F45,'2. AWARDS'!$C$9:$O$35,10,FALSE),IF(E45='2. AWARDS'!H$7,((1+(R45/9))*(1+P45))*VLOOKUP(F45,'2. AWARDS'!$C$9:$O$35,11,FALSE),IF(E45='2. AWARDS'!I$7,((1+(R45/9))*(1+P45))*VLOOKUP(F45,'2. AWARDS'!$C$9:$O$35,12,FALSE),IF(E45='2. AWARDS'!J$7,((1+(R45/9))*(1+P45))*VLOOKUP(F45,'2. AWARDS'!$C$9:$O$35,13,FALSE)))))),"?")))))))))))</f>
        <v>0</v>
      </c>
      <c r="Z45" s="1093" t="e">
        <f>IF(AND(E45='2. AWARDS'!F31,O45&gt;N45,O45&gt;Q45,VLOOKUP(F45,'2. AWARDS'!$C$9:$O$35,9,FALSE)&lt;&gt;0),VLOOKUP(F45,'2. AWARDS'!$C$9:$O$35,9,FALSE)*(1+P45)*(1+(R45/9)),IF(AND(E45='2. AWARDS'!F31,O45&gt;N45,O45&gt;Q45,VLOOKUP(F45,'2. AWARDS'!$C$9:$O$35,9,FALSE)=0),X45*(1+P45)*(1+(R45/9)),IF(AND(E45='2. AWARDS'!G31,O45&gt;N45,O45&gt;Q45,VLOOKUP(F45,'2. AWARDS'!$C$9:$O$35,10,FALSE)&lt;&gt;0),VLOOKUP(F45,'2. AWARDS'!$C$9:$O$35,10,FALSE)*(1+P45)*(1+(R45/9)),IF(AND(E45='2. AWARDS'!G31,O45&gt;N45,O45&gt;Q45,VLOOKUP(F45,'2. AWARDS'!$C$9:$O$35,10,FALSE)=0),X45*(1+P45)*(1+(R45/9)),IF(AND(E45='2. AWARDS'!H31,O45&gt;N45,O45&gt;Q45,VLOOKUP(F45,'2. AWARDS'!$C$9:$O$35,11,FALSE)&lt;&gt;0),VLOOKUP(F45,'2. AWARDS'!$C$9:$O$35,11,FALSE)*(1+P45)*(1+(R45/9)),IF(AND(E45='2. AWARDS'!H31,O45&gt;N45,O45&gt;Q45,VLOOKUP(F45,'2. AWARDS'!$C$9:$O$35,11,FALSE)=0),X45*(1+P45)*(1+(R45/9)),IF(AND(E45='2. AWARDS'!I31,O45&gt;N45,O45&gt;Q45,VLOOKUP(F45,'2. AWARDS'!$C$9:$O$35,12,FALSE)&lt;&gt;0),VLOOKUP(F45,'2. AWARDS'!$C$9:$O$35,12,FALSE)*(1+P45)*(1+(R45/9)),IF(AND(E45='2. AWARDS'!I31,O45&gt;N45,O45&gt;Q45,VLOOKUP(F45,'2. AWARDS'!$C$9:$O$35,12,FALSE)=0),X45*(1+P45)*(1+(R45/9)),IF(AND(E45='2. AWARDS'!J31,O45&gt;N45,O45&gt;Q45,VLOOKUP(F45,'2. AWARDS'!$C$9:$O$35,13,FALSE)&lt;&gt;0),VLOOKUP(F45,'2. AWARDS'!$C$9:$O$35,13,FALSE)*(1+P45)*(1+(R45/9)),IF(AND(E45='2. AWARDS'!J31,O45&gt;N45,O45&gt;Q45,VLOOKUP(F45,'2. AWARDS'!$C$9:$O$35,13,FALSE)=0),X45*(1+P45)*(1+(R45/9)),IF(AND(O45&lt;N45,O45&gt;Q45),X45*(1+P45)*(1+(R45/9)),IF(AND(E45='2. AWARDS'!F31,O45=MAX(N45,Q45),VLOOKUP(F45,'2. AWARDS'!$C$9:$O$35,9,FALSE)&lt;&gt;0),VLOOKUP(F45,'2. AWARDS'!$C$9:$O$35,9,FALSE)*(1+P45)*(1+(R45/9)),IF(AND(E45='2. AWARDS'!F31,O45=MAX(N45,Q45),VLOOKUP(F45,'2. AWARDS'!$C$9:$O$35,9,FALSE)=0),X45*(1+P45)*(1+(R45/9)),IF(AND(E45='2. AWARDS'!G31,O45=MAX(N45,Q45),VLOOKUP(F45,'2. AWARDS'!$C$9:$O$35,10,FALSE)&lt;&gt;0),VLOOKUP(F45,'2. AWARDS'!$C$9:$O$35,10,FALSE)*(1+P45)*(1+(R45/9)),IF(AND(E45='2. AWARDS'!G31,O45=MAX(N45,Q45),VLOOKUP(F45,'2. AWARDS'!$C$9:$O$35,10,FALSE)=0),X45*(1+P45)*(1+(R45/9)),IF(AND(E45='2. AWARDS'!H31,O45=MAX(N45,Q45),VLOOKUP(F45,'2. AWARDS'!$C$9:$O$35,11,FALSE)&lt;&gt;0),VLOOKUP(F45,'2. AWARDS'!$C$9:$O$35,11,FALSE)*(1+P45)*(1+(R45/9)),IF(AND(E45='2. AWARDS'!H31,O45=MAX(N45,Q45),VLOOKUP(F45,'2. AWARDS'!$C$9:$O$35,11,FALSE)=0),X45*(1+P45)*(1+(R45/9)),IF(AND(E45='2. AWARDS'!I31,O45=MAX(N45,Q45),VLOOKUP(F45,'2. AWARDS'!$C$9:$O$35,12,FALSE)&lt;&gt;0),VLOOKUP(F45,'2. AWARDS'!$C$9:$O$35,12,FALSE)*(1+P45)*(1+(R45/9)),IF(AND(E45='2. AWARDS'!I31,O45=MAX(N45,Q45),VLOOKUP(F45,'2. AWARDS'!$C$9:$O$35,12,FALSE)=0),X45*(1+P45)*(1+(R45/9)),IF(AND(E45='2. AWARDS'!J31,O45=MAX(N45,Q45),VLOOKUP(F45,'2. AWARDS'!$C$9:$O$35,13,FALSE)&lt;&gt;0),VLOOKUP(F45,'2. AWARDS'!$C$9:$O$35,13,FALSE)*(1+P45)*(1+(R45/9)),IF(AND(E45='2. AWARDS'!J31,O45=MAX(N45,Q45),VLOOKUP(F45,'2. AWARDS'!$C$9:$O$35,13,FALSE)=0),X45*(1+P45)*(1+(R45/9)),IF(AND(O45&lt;N45,O45&lt;Q45),X45*(1+P45),IF(AND(O45=N45,N45&lt;Q45,E45='2. AWARDS'!F31),VLOOKUP(F45,'2. AWARDS'!$C$9:$O$35,9,FALSE)*(1+P45),IF(AND(O45=N45,N45&lt;Q45,E45='2. AWARDS'!G31),VLOOKUP(F45,'2. AWARDS'!$C$9:$O$35,10,FALSE)*(1+P45),IF(AND(O45=N45,N45&lt;Q45,E45='2. AWARDS'!H31),VLOOKUP(F45,'2. AWARDS'!$C$9:$O$35,11,FALSE)*(1+P45),IF(AND(O45=N45,N45&lt;Q45,E45='2. AWARDS'!I31),VLOOKUP(F45,'2. AWARDS'!$C$9:$O$35,12,FALSE)*(1+P45),IF(AND(O45=N45,N45&lt;Q45,E45='2. AWARDS'!J31),VLOOKUP(F45,'2. AWARDS'!$C$9:$O$35,13,FALSE)*(1+P45),IF(AND(O45=Q45,N45&gt;Q45),X45*(1+P45)*(1+(R45/9)),IF(AND(E45='2. AWARDS'!F31,O45&gt;N45,O45&lt;Q45,VLOOKUP(F45,'2. AWARDS'!$C$9:$O$35,9,FALSE)&lt;&gt;0),VLOOKUP(F45,'2. AWARDS'!$C$9:$O$35,9,FALSE)*(1+P45),IF(AND(E45='2. AWARDS'!G31,O45&gt;N45,O45&lt;Q45,VLOOKUP(F45,'2. AWARDS'!$C$9:$O$35,10,FALSE)&lt;&gt;0),VLOOKUP(F45,'2. AWARDS'!$C$9:$O$35,10,FALSE)*(1+P45),IF(AND(E45='2. AWARDS'!H31,O45&gt;N45,O45&lt;Q45,VLOOKUP(F45,'2. AWARDS'!$C$9:$O$35,11,FALSE)&lt;&gt;0),VLOOKUP(F45,'2. AWARDS'!$C$9:$O$35,11,FALSE)*(1+P45),IF(AND(E45='2. AWARDS'!I31,O45&gt;N45,O45&lt;Q45,VLOOKUP(F45,'2. AWARDS'!$C$9:$O$35,12,FALSE)&lt;&gt;0),VLOOKUP(F45,'2. AWARDS'!$C$9:$O$35,12,FALSE)*(1+P45),IF(AND(E45='2. AWARDS'!J31,O45&gt;N45,O45&lt;Q45,VLOOKUP(F45,'2. AWARDS'!$C$9:$O$35,13,FALSE)&lt;&gt;0),VLOOKUP(F45,'2. AWARDS'!$C$9:$O$35,13,FALSE)*(1+P45),X45*(1+P45))))))))))))))))))))))))))))))))))</f>
        <v>#N/A</v>
      </c>
      <c r="AA45" s="661" t="e">
        <f t="shared" si="35"/>
        <v>#N/A</v>
      </c>
      <c r="AB45" s="683"/>
      <c r="AC45" s="774"/>
      <c r="AD45" s="774"/>
      <c r="AE45" s="777"/>
      <c r="AF45" s="781">
        <f t="shared" si="20"/>
        <v>0</v>
      </c>
      <c r="AG45" s="781" t="e">
        <f>HLOOKUP(E45,'2. AWARDS'!$F$7:$J$40,32,FALSE)/5*HLOOKUP(E45,'2. AWARDS'!$F$7:$J$40,31,FALSE)*MAX(W45:AA45)*M45*HLOOKUP(E45,'2. AWARDS'!$F$7:$J$40,34,FALSE)*(L45/(38*2))</f>
        <v>#N/A</v>
      </c>
      <c r="AH45" s="783" t="e">
        <f>((HLOOKUP(E45,'2. AWARDS'!$F$7:$J$42,36,FALSE)/HLOOKUP(E45,'2. AWARDS'!$F$7:$J$42,35,FALSE)*HLOOKUP(E45,'2. AWARDS'!$F$7:$J$45,39,FALSE))/(HLOOKUP(E45,'2. AWARDS'!$F$7:$J$45,31,FALSE)*2)*L45*M45*HLOOKUP(E45,'2. AWARDS'!$F$7:$J$45,31,FALSE)*MAX(W45:AA45))</f>
        <v>#N/A</v>
      </c>
      <c r="AI45" s="474"/>
      <c r="AJ45" s="804"/>
      <c r="AK45" s="801"/>
      <c r="AL45" s="801"/>
      <c r="AM45" s="802"/>
      <c r="AN45" s="1012"/>
      <c r="AO45" s="836">
        <f>IF(AJ45="YES",HLOOKUP(E45,'2. AWARDS'!$F$7:$J$38,32,FALSE)/5*HLOOKUP(E45,'2. AWARDS'!$F$7:$J$37,31,FALSE)*L45/(HLOOKUP(E45,'2. AWARDS'!$F$7:$J$37,31,FALSE)*2)*M45*MAX(W45:AA45)*(1+HLOOKUP(E45,'2. AWARDS'!$F$7:$J$43,37,FALSE))*(1-AM45),0)</f>
        <v>0</v>
      </c>
      <c r="AP45" s="836">
        <f>IF(AK45="YES",HLOOKUP(E45,'2. AWARDS'!$F$7:$J$39,33,FALSE)/5*HLOOKUP(E45,'2. AWARDS'!$F$7:$J$37,31,FALSE)*L45/(HLOOKUP(E45,'2. AWARDS'!$F$7:$J$37,31,FALSE)*2)*M45*MAX(W45:AA45)*(1+HLOOKUP(E45,'2. AWARDS'!$F$7:$J$43,37,FALSE))*(1-AM45),0)</f>
        <v>0</v>
      </c>
      <c r="AQ45" s="838">
        <f>IF(AL45="YES",HLOOKUP(E45,'2. AWARDS'!$F$7:$J$47,40,FALSE)/5*HLOOKUP(E45,'2. AWARDS'!$F$7:$J$37,31,FALSE)*L45/(HLOOKUP(E45,'2. AWARDS'!$F$7:$J$37,31,FALSE)*2)*M45*MAX(W45:AA45)*(1+HLOOKUP(E45,'2. AWARDS'!$F$7:$J$43,37,FALSE))*(1-AM45),0)</f>
        <v>0</v>
      </c>
      <c r="AR45" s="839">
        <f>(IF(AJ45="YES",HLOOKUP(E45,'2. AWARDS'!$F$7:$J$39,32,FALSE),0)+IF(AK45="YES",HLOOKUP(E45,'2. AWARDS'!$F$7:$J$39,33,FALSE),0)+IF(AL45="YES",HLOOKUP(E45,'2. AWARDS'!$F$7:$J$47,40,FALSE),0))*L45/76*7.6*AM45*AN45*M45</f>
        <v>0</v>
      </c>
      <c r="AS45" s="683"/>
      <c r="AT45" s="802">
        <f>'1. KEY DATA'!J$29</f>
        <v>0</v>
      </c>
      <c r="AU45" s="822">
        <f>'1. KEY DATA'!J$30</f>
        <v>0.09</v>
      </c>
      <c r="AV45" s="502"/>
      <c r="AW45" s="478">
        <f t="shared" si="21"/>
        <v>0</v>
      </c>
      <c r="AX45" s="502"/>
      <c r="AY45" s="998"/>
      <c r="AZ45" s="999"/>
      <c r="BA45" s="999"/>
      <c r="BB45" s="999"/>
      <c r="BC45" s="999"/>
      <c r="BD45" s="999"/>
      <c r="BE45" s="999"/>
      <c r="BF45" s="999"/>
      <c r="BG45" s="999"/>
      <c r="BH45" s="999"/>
      <c r="BI45" s="1392"/>
      <c r="BJ45" s="1393"/>
      <c r="BK45" s="1393"/>
      <c r="BL45" s="1394"/>
      <c r="BM45" s="301">
        <f t="shared" si="22"/>
        <v>1</v>
      </c>
      <c r="BO45" s="244">
        <f t="shared" si="23"/>
        <v>0</v>
      </c>
      <c r="BP45" s="245">
        <f t="shared" si="24"/>
        <v>0</v>
      </c>
      <c r="BQ45" s="245">
        <f t="shared" si="25"/>
        <v>0</v>
      </c>
      <c r="BR45" s="245">
        <f t="shared" si="26"/>
        <v>0</v>
      </c>
      <c r="BS45" s="245">
        <f t="shared" si="27"/>
        <v>0</v>
      </c>
      <c r="BT45" s="245">
        <f t="shared" si="28"/>
        <v>0</v>
      </c>
      <c r="BU45" s="245">
        <f t="shared" si="29"/>
        <v>0</v>
      </c>
      <c r="BV45" s="245">
        <f t="shared" si="30"/>
        <v>0</v>
      </c>
      <c r="BW45" s="245">
        <f t="shared" si="31"/>
        <v>0</v>
      </c>
      <c r="BX45" s="246">
        <f t="shared" si="32"/>
        <v>0</v>
      </c>
      <c r="BY45" s="1380"/>
      <c r="BZ45" s="1381"/>
      <c r="CA45" s="1381"/>
      <c r="CB45" s="1382"/>
    </row>
    <row r="46" spans="1:80">
      <c r="A46">
        <f t="shared" si="0"/>
        <v>26</v>
      </c>
      <c r="B46" s="217"/>
      <c r="C46" s="214"/>
      <c r="D46" s="699">
        <f t="shared" si="33"/>
        <v>0</v>
      </c>
      <c r="E46" s="626"/>
      <c r="F46" s="900"/>
      <c r="G46" s="702"/>
      <c r="H46" s="693"/>
      <c r="I46" s="694"/>
      <c r="J46" s="1113"/>
      <c r="K46" s="1114"/>
      <c r="L46" s="1109"/>
      <c r="M46" s="689"/>
      <c r="N46" s="629"/>
      <c r="O46" s="629"/>
      <c r="P46" s="638">
        <f t="shared" si="36"/>
        <v>0.03</v>
      </c>
      <c r="Q46" s="629"/>
      <c r="R46" s="673" t="str">
        <f t="shared" si="17"/>
        <v>-</v>
      </c>
      <c r="S46" s="649"/>
      <c r="T46" s="647"/>
      <c r="U46" s="827"/>
      <c r="V46" s="670"/>
      <c r="W46" s="798">
        <f t="shared" si="18"/>
        <v>0</v>
      </c>
      <c r="X46" s="656">
        <f>IF(OR(E46=0,F46=0),0,IF(E46='2. AWARDS'!F$7,VLOOKUP(F46,'2. AWARDS'!$C$9:$F$35,4,FALSE),IF(E46='2. AWARDS'!G$7,VLOOKUP(F46,'2. AWARDS'!$C$9:$G$35,5,FALSE),IF(E46='2. AWARDS'!H$7,VLOOKUP(F46,'2. AWARDS'!$C$9:$H$35,6,FALSE),IF(E46='2. AWARDS'!I$7,VLOOKUP(F46,'2. AWARDS'!$C$9:$I$35,7,FALSE),VLOOKUP(F46,'2. AWARDS'!$C$9:$J$35,8,FALSE))))))</f>
        <v>0</v>
      </c>
      <c r="Y46" s="980">
        <f>IF(OR(E46=0,F46=0),0,IF(AND(N46=0,E46='2. AWARDS'!F$7,VLOOKUP(F46,'2. AWARDS'!$C$9:$O$35,9,FALSE)&lt;&gt;0),"date missing",IF(AND(N46=0,E46='2. AWARDS'!G$7,VLOOKUP(F46,'2. AWARDS'!$C$9:$O$35,10,FALSE)&lt;&gt;0),"date missing",IF(AND(N46=0,E46='2. AWARDS'!H$7,VLOOKUP(F46,'2. AWARDS'!$C$9:$O$35,11,FALSE)&lt;&gt;0),"date missing",IF(AND(N46=0,E46='2. AWARDS'!I$7,VLOOKUP(F46,'2. AWARDS'!$C$9:$O$35,12,FALSE)&lt;&gt;0),"date missing",IF(AND(N46=0,E46='2. AWARDS'!J$7,VLOOKUP(F46,'2. AWARDS'!$C$9:$O$35,13,FALSE)&lt;&gt;0),"date missing",IF(N46=0,0,IF(OR(N46=MIN(O46,Q46),AND(N46&lt;O46,N46&lt;Q46,N46&gt;0)),IF(E46='2. AWARDS'!F$7,VLOOKUP(F46,'2. AWARDS'!$C$9:$O$35,9,FALSE),IF(E46='2. AWARDS'!G$7,VLOOKUP(F46,'2. AWARDS'!$C$9:$O$35,10,FALSE),IF(E46='2. AWARDS'!H$7,VLOOKUP(F46,'2. AWARDS'!$C$9:$O$35,11,FALSE),IF(E46='2. AWARDS'!I$7,VLOOKUP(F46,'2. AWARDS'!$C$9:$O$35,12,FALSE),IF(E46='2. AWARDS'!J$7,VLOOKUP(F46,'2. AWARDS'!$C$9:$O$35,13,FALSE)))))),IF(AND(N46&gt;O46,N46&lt;Q46),IF(E46='2. AWARDS'!F$7,(1+P46)*VLOOKUP(F46,'2. AWARDS'!$C$9:$O$35,9,FALSE),IF(E46='2. AWARDS'!G$7,(1+P46)*VLOOKUP(F46,'2. AWARDS'!$C$9:$O$35,10,FALSE),IF(E46='2. AWARDS'!H$7,(1+P46)*VLOOKUP(F46,'2. AWARDS'!$C$9:$O$35,11,FALSE),IF(E46='2. AWARDS'!I$7,(1+P46)*VLOOKUP(F46,'2. AWARDS'!$C$9:$O$35,12,FALSE),IF(E46='2. AWARDS'!J$7,(1+P46)*VLOOKUP(F46,'2. AWARDS'!$C$9:$O$35,13,FALSE)))))),IF(AND(N46&lt;O46,N46&gt;Q46),IF(E46='2. AWARDS'!F$7,(1+(R46/9))*VLOOKUP(F46,'2. AWARDS'!$C$9:$O$35,9,FALSE),IF(E46='2. AWARDS'!G$7,(1+(R46/9))*VLOOKUP(F46,'2. AWARDS'!$C$9:$O$35,10,FALSE),IF(E46='2. AWARDS'!H$7,(1+(R46/9))*VLOOKUP(F46,'2. AWARDS'!$C$9:$O$35,11,FALSE),IF(E46='2. AWARDS'!I$7,(1+(R46/9))*VLOOKUP(F46,'2. AWARDS'!$C$9:$O$35,12,FALSE),IF(E46='2. AWARDS'!J$7,(1+(R46/9))*VLOOKUP(F46,'2. AWARDS'!$C$9:$O$35,13,FALSE)))))),IF(OR(N46=MAX(O46,Q46),AND(N46&gt;O46,N46&gt;Q46)),IF(E46='2. AWARDS'!F$7,((1+(R46/9))*(1+P46))*VLOOKUP(F46,'2. AWARDS'!$C$9:$O$35,9,FALSE),IF(E46='2. AWARDS'!G$7,((1+(R46/9))*(1+P46))*VLOOKUP(F46,'2. AWARDS'!$C$9:$O$35,10,FALSE),IF(E46='2. AWARDS'!H$7,((1+(R46/9))*(1+P46))*VLOOKUP(F46,'2. AWARDS'!$C$9:$O$35,11,FALSE),IF(E46='2. AWARDS'!I$7,((1+(R46/9))*(1+P46))*VLOOKUP(F46,'2. AWARDS'!$C$9:$O$35,12,FALSE),IF(E46='2. AWARDS'!J$7,((1+(R46/9))*(1+P46))*VLOOKUP(F46,'2. AWARDS'!$C$9:$O$35,13,FALSE)))))),"?")))))))))))</f>
        <v>0</v>
      </c>
      <c r="Z46" s="1093" t="e">
        <f>IF(AND(E46='2. AWARDS'!F32,O46&gt;N46,O46&gt;Q46,VLOOKUP(F46,'2. AWARDS'!$C$9:$O$35,9,FALSE)&lt;&gt;0),VLOOKUP(F46,'2. AWARDS'!$C$9:$O$35,9,FALSE)*(1+P46)*(1+(R46/9)),IF(AND(E46='2. AWARDS'!F32,O46&gt;N46,O46&gt;Q46,VLOOKUP(F46,'2. AWARDS'!$C$9:$O$35,9,FALSE)=0),X46*(1+P46)*(1+(R46/9)),IF(AND(E46='2. AWARDS'!G32,O46&gt;N46,O46&gt;Q46,VLOOKUP(F46,'2. AWARDS'!$C$9:$O$35,10,FALSE)&lt;&gt;0),VLOOKUP(F46,'2. AWARDS'!$C$9:$O$35,10,FALSE)*(1+P46)*(1+(R46/9)),IF(AND(E46='2. AWARDS'!G32,O46&gt;N46,O46&gt;Q46,VLOOKUP(F46,'2. AWARDS'!$C$9:$O$35,10,FALSE)=0),X46*(1+P46)*(1+(R46/9)),IF(AND(E46='2. AWARDS'!H32,O46&gt;N46,O46&gt;Q46,VLOOKUP(F46,'2. AWARDS'!$C$9:$O$35,11,FALSE)&lt;&gt;0),VLOOKUP(F46,'2. AWARDS'!$C$9:$O$35,11,FALSE)*(1+P46)*(1+(R46/9)),IF(AND(E46='2. AWARDS'!H32,O46&gt;N46,O46&gt;Q46,VLOOKUP(F46,'2. AWARDS'!$C$9:$O$35,11,FALSE)=0),X46*(1+P46)*(1+(R46/9)),IF(AND(E46='2. AWARDS'!I32,O46&gt;N46,O46&gt;Q46,VLOOKUP(F46,'2. AWARDS'!$C$9:$O$35,12,FALSE)&lt;&gt;0),VLOOKUP(F46,'2. AWARDS'!$C$9:$O$35,12,FALSE)*(1+P46)*(1+(R46/9)),IF(AND(E46='2. AWARDS'!I32,O46&gt;N46,O46&gt;Q46,VLOOKUP(F46,'2. AWARDS'!$C$9:$O$35,12,FALSE)=0),X46*(1+P46)*(1+(R46/9)),IF(AND(E46='2. AWARDS'!J32,O46&gt;N46,O46&gt;Q46,VLOOKUP(F46,'2. AWARDS'!$C$9:$O$35,13,FALSE)&lt;&gt;0),VLOOKUP(F46,'2. AWARDS'!$C$9:$O$35,13,FALSE)*(1+P46)*(1+(R46/9)),IF(AND(E46='2. AWARDS'!J32,O46&gt;N46,O46&gt;Q46,VLOOKUP(F46,'2. AWARDS'!$C$9:$O$35,13,FALSE)=0),X46*(1+P46)*(1+(R46/9)),IF(AND(O46&lt;N46,O46&gt;Q46),X46*(1+P46)*(1+(R46/9)),IF(AND(E46='2. AWARDS'!F32,O46=MAX(N46,Q46),VLOOKUP(F46,'2. AWARDS'!$C$9:$O$35,9,FALSE)&lt;&gt;0),VLOOKUP(F46,'2. AWARDS'!$C$9:$O$35,9,FALSE)*(1+P46)*(1+(R46/9)),IF(AND(E46='2. AWARDS'!F32,O46=MAX(N46,Q46),VLOOKUP(F46,'2. AWARDS'!$C$9:$O$35,9,FALSE)=0),X46*(1+P46)*(1+(R46/9)),IF(AND(E46='2. AWARDS'!G32,O46=MAX(N46,Q46),VLOOKUP(F46,'2. AWARDS'!$C$9:$O$35,10,FALSE)&lt;&gt;0),VLOOKUP(F46,'2. AWARDS'!$C$9:$O$35,10,FALSE)*(1+P46)*(1+(R46/9)),IF(AND(E46='2. AWARDS'!G32,O46=MAX(N46,Q46),VLOOKUP(F46,'2. AWARDS'!$C$9:$O$35,10,FALSE)=0),X46*(1+P46)*(1+(R46/9)),IF(AND(E46='2. AWARDS'!H32,O46=MAX(N46,Q46),VLOOKUP(F46,'2. AWARDS'!$C$9:$O$35,11,FALSE)&lt;&gt;0),VLOOKUP(F46,'2. AWARDS'!$C$9:$O$35,11,FALSE)*(1+P46)*(1+(R46/9)),IF(AND(E46='2. AWARDS'!H32,O46=MAX(N46,Q46),VLOOKUP(F46,'2. AWARDS'!$C$9:$O$35,11,FALSE)=0),X46*(1+P46)*(1+(R46/9)),IF(AND(E46='2. AWARDS'!I32,O46=MAX(N46,Q46),VLOOKUP(F46,'2. AWARDS'!$C$9:$O$35,12,FALSE)&lt;&gt;0),VLOOKUP(F46,'2. AWARDS'!$C$9:$O$35,12,FALSE)*(1+P46)*(1+(R46/9)),IF(AND(E46='2. AWARDS'!I32,O46=MAX(N46,Q46),VLOOKUP(F46,'2. AWARDS'!$C$9:$O$35,12,FALSE)=0),X46*(1+P46)*(1+(R46/9)),IF(AND(E46='2. AWARDS'!J32,O46=MAX(N46,Q46),VLOOKUP(F46,'2. AWARDS'!$C$9:$O$35,13,FALSE)&lt;&gt;0),VLOOKUP(F46,'2. AWARDS'!$C$9:$O$35,13,FALSE)*(1+P46)*(1+(R46/9)),IF(AND(E46='2. AWARDS'!J32,O46=MAX(N46,Q46),VLOOKUP(F46,'2. AWARDS'!$C$9:$O$35,13,FALSE)=0),X46*(1+P46)*(1+(R46/9)),IF(AND(O46&lt;N46,O46&lt;Q46),X46*(1+P46),IF(AND(O46=N46,N46&lt;Q46,E46='2. AWARDS'!F32),VLOOKUP(F46,'2. AWARDS'!$C$9:$O$35,9,FALSE)*(1+P46),IF(AND(O46=N46,N46&lt;Q46,E46='2. AWARDS'!G32),VLOOKUP(F46,'2. AWARDS'!$C$9:$O$35,10,FALSE)*(1+P46),IF(AND(O46=N46,N46&lt;Q46,E46='2. AWARDS'!H32),VLOOKUP(F46,'2. AWARDS'!$C$9:$O$35,11,FALSE)*(1+P46),IF(AND(O46=N46,N46&lt;Q46,E46='2. AWARDS'!I32),VLOOKUP(F46,'2. AWARDS'!$C$9:$O$35,12,FALSE)*(1+P46),IF(AND(O46=N46,N46&lt;Q46,E46='2. AWARDS'!J32),VLOOKUP(F46,'2. AWARDS'!$C$9:$O$35,13,FALSE)*(1+P46),IF(AND(O46=Q46,N46&gt;Q46),X46*(1+P46)*(1+(R46/9)),IF(AND(E46='2. AWARDS'!F32,O46&gt;N46,O46&lt;Q46,VLOOKUP(F46,'2. AWARDS'!$C$9:$O$35,9,FALSE)&lt;&gt;0),VLOOKUP(F46,'2. AWARDS'!$C$9:$O$35,9,FALSE)*(1+P46),IF(AND(E46='2. AWARDS'!G32,O46&gt;N46,O46&lt;Q46,VLOOKUP(F46,'2. AWARDS'!$C$9:$O$35,10,FALSE)&lt;&gt;0),VLOOKUP(F46,'2. AWARDS'!$C$9:$O$35,10,FALSE)*(1+P46),IF(AND(E46='2. AWARDS'!H32,O46&gt;N46,O46&lt;Q46,VLOOKUP(F46,'2. AWARDS'!$C$9:$O$35,11,FALSE)&lt;&gt;0),VLOOKUP(F46,'2. AWARDS'!$C$9:$O$35,11,FALSE)*(1+P46),IF(AND(E46='2. AWARDS'!I32,O46&gt;N46,O46&lt;Q46,VLOOKUP(F46,'2. AWARDS'!$C$9:$O$35,12,FALSE)&lt;&gt;0),VLOOKUP(F46,'2. AWARDS'!$C$9:$O$35,12,FALSE)*(1+P46),IF(AND(E46='2. AWARDS'!J32,O46&gt;N46,O46&lt;Q46,VLOOKUP(F46,'2. AWARDS'!$C$9:$O$35,13,FALSE)&lt;&gt;0),VLOOKUP(F46,'2. AWARDS'!$C$9:$O$35,13,FALSE)*(1+P46),X46*(1+P46))))))))))))))))))))))))))))))))))</f>
        <v>#N/A</v>
      </c>
      <c r="AA46" s="661" t="e">
        <f t="shared" si="35"/>
        <v>#N/A</v>
      </c>
      <c r="AB46" s="683"/>
      <c r="AC46" s="774"/>
      <c r="AD46" s="774"/>
      <c r="AE46" s="777"/>
      <c r="AF46" s="781">
        <f t="shared" si="20"/>
        <v>0</v>
      </c>
      <c r="AG46" s="781" t="e">
        <f>HLOOKUP(E46,'2. AWARDS'!$F$7:$J$40,32,FALSE)/5*HLOOKUP(E46,'2. AWARDS'!$F$7:$J$40,31,FALSE)*MAX(W46:AA46)*M46*HLOOKUP(E46,'2. AWARDS'!$F$7:$J$40,34,FALSE)*(L46/(38*2))</f>
        <v>#N/A</v>
      </c>
      <c r="AH46" s="783" t="e">
        <f>((HLOOKUP(E46,'2. AWARDS'!$F$7:$J$42,36,FALSE)/HLOOKUP(E46,'2. AWARDS'!$F$7:$J$42,35,FALSE)*HLOOKUP(E46,'2. AWARDS'!$F$7:$J$45,39,FALSE))/(HLOOKUP(E46,'2. AWARDS'!$F$7:$J$45,31,FALSE)*2)*L46*M46*HLOOKUP(E46,'2. AWARDS'!$F$7:$J$45,31,FALSE)*MAX(W46:AA46))</f>
        <v>#N/A</v>
      </c>
      <c r="AI46" s="474"/>
      <c r="AJ46" s="804"/>
      <c r="AK46" s="801"/>
      <c r="AL46" s="801"/>
      <c r="AM46" s="802"/>
      <c r="AN46" s="1012"/>
      <c r="AO46" s="836">
        <f>IF(AJ46="YES",HLOOKUP(E46,'2. AWARDS'!$F$7:$J$38,32,FALSE)/5*HLOOKUP(E46,'2. AWARDS'!$F$7:$J$37,31,FALSE)*L46/(HLOOKUP(E46,'2. AWARDS'!$F$7:$J$37,31,FALSE)*2)*M46*MAX(W46:AA46)*(1+HLOOKUP(E46,'2. AWARDS'!$F$7:$J$43,37,FALSE))*(1-AM46),0)</f>
        <v>0</v>
      </c>
      <c r="AP46" s="836">
        <f>IF(AK46="YES",HLOOKUP(E46,'2. AWARDS'!$F$7:$J$39,33,FALSE)/5*HLOOKUP(E46,'2. AWARDS'!$F$7:$J$37,31,FALSE)*L46/(HLOOKUP(E46,'2. AWARDS'!$F$7:$J$37,31,FALSE)*2)*M46*MAX(W46:AA46)*(1+HLOOKUP(E46,'2. AWARDS'!$F$7:$J$43,37,FALSE))*(1-AM46),0)</f>
        <v>0</v>
      </c>
      <c r="AQ46" s="838">
        <f>IF(AL46="YES",HLOOKUP(E46,'2. AWARDS'!$F$7:$J$47,40,FALSE)/5*HLOOKUP(E46,'2. AWARDS'!$F$7:$J$37,31,FALSE)*L46/(HLOOKUP(E46,'2. AWARDS'!$F$7:$J$37,31,FALSE)*2)*M46*MAX(W46:AA46)*(1+HLOOKUP(E46,'2. AWARDS'!$F$7:$J$43,37,FALSE))*(1-AM46),0)</f>
        <v>0</v>
      </c>
      <c r="AR46" s="839">
        <f>(IF(AJ46="YES",HLOOKUP(E46,'2. AWARDS'!$F$7:$J$39,32,FALSE),0)+IF(AK46="YES",HLOOKUP(E46,'2. AWARDS'!$F$7:$J$39,33,FALSE),0)+IF(AL46="YES",HLOOKUP(E46,'2. AWARDS'!$F$7:$J$47,40,FALSE),0))*L46/76*7.6*AM46*AN46*M46</f>
        <v>0</v>
      </c>
      <c r="AS46" s="683"/>
      <c r="AT46" s="802">
        <f>'1. KEY DATA'!J$29</f>
        <v>0</v>
      </c>
      <c r="AU46" s="822">
        <f>'1. KEY DATA'!J$30</f>
        <v>0.09</v>
      </c>
      <c r="AV46" s="502"/>
      <c r="AW46" s="478">
        <f t="shared" si="21"/>
        <v>0</v>
      </c>
      <c r="AX46" s="502"/>
      <c r="AY46" s="998"/>
      <c r="AZ46" s="999"/>
      <c r="BA46" s="999"/>
      <c r="BB46" s="999"/>
      <c r="BC46" s="999"/>
      <c r="BD46" s="999"/>
      <c r="BE46" s="999"/>
      <c r="BF46" s="999"/>
      <c r="BG46" s="999"/>
      <c r="BH46" s="999"/>
      <c r="BI46" s="1392"/>
      <c r="BJ46" s="1393"/>
      <c r="BK46" s="1393"/>
      <c r="BL46" s="1394"/>
      <c r="BM46" s="301">
        <f t="shared" si="22"/>
        <v>1</v>
      </c>
      <c r="BO46" s="244">
        <f t="shared" si="23"/>
        <v>0</v>
      </c>
      <c r="BP46" s="245">
        <f t="shared" si="24"/>
        <v>0</v>
      </c>
      <c r="BQ46" s="245">
        <f t="shared" si="25"/>
        <v>0</v>
      </c>
      <c r="BR46" s="245">
        <f t="shared" si="26"/>
        <v>0</v>
      </c>
      <c r="BS46" s="245">
        <f t="shared" si="27"/>
        <v>0</v>
      </c>
      <c r="BT46" s="245">
        <f t="shared" si="28"/>
        <v>0</v>
      </c>
      <c r="BU46" s="245">
        <f t="shared" si="29"/>
        <v>0</v>
      </c>
      <c r="BV46" s="245">
        <f t="shared" si="30"/>
        <v>0</v>
      </c>
      <c r="BW46" s="245">
        <f t="shared" si="31"/>
        <v>0</v>
      </c>
      <c r="BX46" s="246">
        <f t="shared" si="32"/>
        <v>0</v>
      </c>
      <c r="BY46" s="1380"/>
      <c r="BZ46" s="1381"/>
      <c r="CA46" s="1381"/>
      <c r="CB46" s="1382"/>
    </row>
    <row r="47" spans="1:80">
      <c r="A47">
        <f t="shared" si="0"/>
        <v>27</v>
      </c>
      <c r="B47" s="217"/>
      <c r="C47" s="214"/>
      <c r="D47" s="699">
        <f t="shared" si="33"/>
        <v>0</v>
      </c>
      <c r="E47" s="626"/>
      <c r="F47" s="900"/>
      <c r="G47" s="702"/>
      <c r="H47" s="693"/>
      <c r="I47" s="694"/>
      <c r="J47" s="1113"/>
      <c r="K47" s="1114"/>
      <c r="L47" s="1109"/>
      <c r="M47" s="689"/>
      <c r="N47" s="629"/>
      <c r="O47" s="629"/>
      <c r="P47" s="638">
        <f t="shared" si="36"/>
        <v>0.03</v>
      </c>
      <c r="Q47" s="629"/>
      <c r="R47" s="673" t="str">
        <f t="shared" si="17"/>
        <v>-</v>
      </c>
      <c r="S47" s="649"/>
      <c r="T47" s="647"/>
      <c r="U47" s="827"/>
      <c r="V47" s="670"/>
      <c r="W47" s="798">
        <f t="shared" si="18"/>
        <v>0</v>
      </c>
      <c r="X47" s="656">
        <f>IF(OR(E47=0,F47=0),0,IF(E47='2. AWARDS'!F$7,VLOOKUP(F47,'2. AWARDS'!$C$9:$F$35,4,FALSE),IF(E47='2. AWARDS'!G$7,VLOOKUP(F47,'2. AWARDS'!$C$9:$G$35,5,FALSE),IF(E47='2. AWARDS'!H$7,VLOOKUP(F47,'2. AWARDS'!$C$9:$H$35,6,FALSE),IF(E47='2. AWARDS'!I$7,VLOOKUP(F47,'2. AWARDS'!$C$9:$I$35,7,FALSE),VLOOKUP(F47,'2. AWARDS'!$C$9:$J$35,8,FALSE))))))</f>
        <v>0</v>
      </c>
      <c r="Y47" s="980">
        <f>IF(OR(E47=0,F47=0),0,IF(AND(N47=0,E47='2. AWARDS'!F$7,VLOOKUP(F47,'2. AWARDS'!$C$9:$O$35,9,FALSE)&lt;&gt;0),"date missing",IF(AND(N47=0,E47='2. AWARDS'!G$7,VLOOKUP(F47,'2. AWARDS'!$C$9:$O$35,10,FALSE)&lt;&gt;0),"date missing",IF(AND(N47=0,E47='2. AWARDS'!H$7,VLOOKUP(F47,'2. AWARDS'!$C$9:$O$35,11,FALSE)&lt;&gt;0),"date missing",IF(AND(N47=0,E47='2. AWARDS'!I$7,VLOOKUP(F47,'2. AWARDS'!$C$9:$O$35,12,FALSE)&lt;&gt;0),"date missing",IF(AND(N47=0,E47='2. AWARDS'!J$7,VLOOKUP(F47,'2. AWARDS'!$C$9:$O$35,13,FALSE)&lt;&gt;0),"date missing",IF(N47=0,0,IF(OR(N47=MIN(O47,Q47),AND(N47&lt;O47,N47&lt;Q47,N47&gt;0)),IF(E47='2. AWARDS'!F$7,VLOOKUP(F47,'2. AWARDS'!$C$9:$O$35,9,FALSE),IF(E47='2. AWARDS'!G$7,VLOOKUP(F47,'2. AWARDS'!$C$9:$O$35,10,FALSE),IF(E47='2. AWARDS'!H$7,VLOOKUP(F47,'2. AWARDS'!$C$9:$O$35,11,FALSE),IF(E47='2. AWARDS'!I$7,VLOOKUP(F47,'2. AWARDS'!$C$9:$O$35,12,FALSE),IF(E47='2. AWARDS'!J$7,VLOOKUP(F47,'2. AWARDS'!$C$9:$O$35,13,FALSE)))))),IF(AND(N47&gt;O47,N47&lt;Q47),IF(E47='2. AWARDS'!F$7,(1+P47)*VLOOKUP(F47,'2. AWARDS'!$C$9:$O$35,9,FALSE),IF(E47='2. AWARDS'!G$7,(1+P47)*VLOOKUP(F47,'2. AWARDS'!$C$9:$O$35,10,FALSE),IF(E47='2. AWARDS'!H$7,(1+P47)*VLOOKUP(F47,'2. AWARDS'!$C$9:$O$35,11,FALSE),IF(E47='2. AWARDS'!I$7,(1+P47)*VLOOKUP(F47,'2. AWARDS'!$C$9:$O$35,12,FALSE),IF(E47='2. AWARDS'!J$7,(1+P47)*VLOOKUP(F47,'2. AWARDS'!$C$9:$O$35,13,FALSE)))))),IF(AND(N47&lt;O47,N47&gt;Q47),IF(E47='2. AWARDS'!F$7,(1+(R47/9))*VLOOKUP(F47,'2. AWARDS'!$C$9:$O$35,9,FALSE),IF(E47='2. AWARDS'!G$7,(1+(R47/9))*VLOOKUP(F47,'2. AWARDS'!$C$9:$O$35,10,FALSE),IF(E47='2. AWARDS'!H$7,(1+(R47/9))*VLOOKUP(F47,'2. AWARDS'!$C$9:$O$35,11,FALSE),IF(E47='2. AWARDS'!I$7,(1+(R47/9))*VLOOKUP(F47,'2. AWARDS'!$C$9:$O$35,12,FALSE),IF(E47='2. AWARDS'!J$7,(1+(R47/9))*VLOOKUP(F47,'2. AWARDS'!$C$9:$O$35,13,FALSE)))))),IF(OR(N47=MAX(O47,Q47),AND(N47&gt;O47,N47&gt;Q47)),IF(E47='2. AWARDS'!F$7,((1+(R47/9))*(1+P47))*VLOOKUP(F47,'2. AWARDS'!$C$9:$O$35,9,FALSE),IF(E47='2. AWARDS'!G$7,((1+(R47/9))*(1+P47))*VLOOKUP(F47,'2. AWARDS'!$C$9:$O$35,10,FALSE),IF(E47='2. AWARDS'!H$7,((1+(R47/9))*(1+P47))*VLOOKUP(F47,'2. AWARDS'!$C$9:$O$35,11,FALSE),IF(E47='2. AWARDS'!I$7,((1+(R47/9))*(1+P47))*VLOOKUP(F47,'2. AWARDS'!$C$9:$O$35,12,FALSE),IF(E47='2. AWARDS'!J$7,((1+(R47/9))*(1+P47))*VLOOKUP(F47,'2. AWARDS'!$C$9:$O$35,13,FALSE)))))),"?")))))))))))</f>
        <v>0</v>
      </c>
      <c r="Z47" s="1093" t="e">
        <f>IF(AND(E47='2. AWARDS'!F33,O47&gt;N47,O47&gt;Q47,VLOOKUP(F47,'2. AWARDS'!$C$9:$O$35,9,FALSE)&lt;&gt;0),VLOOKUP(F47,'2. AWARDS'!$C$9:$O$35,9,FALSE)*(1+P47)*(1+(R47/9)),IF(AND(E47='2. AWARDS'!F33,O47&gt;N47,O47&gt;Q47,VLOOKUP(F47,'2. AWARDS'!$C$9:$O$35,9,FALSE)=0),X47*(1+P47)*(1+(R47/9)),IF(AND(E47='2. AWARDS'!G33,O47&gt;N47,O47&gt;Q47,VLOOKUP(F47,'2. AWARDS'!$C$9:$O$35,10,FALSE)&lt;&gt;0),VLOOKUP(F47,'2. AWARDS'!$C$9:$O$35,10,FALSE)*(1+P47)*(1+(R47/9)),IF(AND(E47='2. AWARDS'!G33,O47&gt;N47,O47&gt;Q47,VLOOKUP(F47,'2. AWARDS'!$C$9:$O$35,10,FALSE)=0),X47*(1+P47)*(1+(R47/9)),IF(AND(E47='2. AWARDS'!H33,O47&gt;N47,O47&gt;Q47,VLOOKUP(F47,'2. AWARDS'!$C$9:$O$35,11,FALSE)&lt;&gt;0),VLOOKUP(F47,'2. AWARDS'!$C$9:$O$35,11,FALSE)*(1+P47)*(1+(R47/9)),IF(AND(E47='2. AWARDS'!H33,O47&gt;N47,O47&gt;Q47,VLOOKUP(F47,'2. AWARDS'!$C$9:$O$35,11,FALSE)=0),X47*(1+P47)*(1+(R47/9)),IF(AND(E47='2. AWARDS'!I33,O47&gt;N47,O47&gt;Q47,VLOOKUP(F47,'2. AWARDS'!$C$9:$O$35,12,FALSE)&lt;&gt;0),VLOOKUP(F47,'2. AWARDS'!$C$9:$O$35,12,FALSE)*(1+P47)*(1+(R47/9)),IF(AND(E47='2. AWARDS'!I33,O47&gt;N47,O47&gt;Q47,VLOOKUP(F47,'2. AWARDS'!$C$9:$O$35,12,FALSE)=0),X47*(1+P47)*(1+(R47/9)),IF(AND(E47='2. AWARDS'!J33,O47&gt;N47,O47&gt;Q47,VLOOKUP(F47,'2. AWARDS'!$C$9:$O$35,13,FALSE)&lt;&gt;0),VLOOKUP(F47,'2. AWARDS'!$C$9:$O$35,13,FALSE)*(1+P47)*(1+(R47/9)),IF(AND(E47='2. AWARDS'!J33,O47&gt;N47,O47&gt;Q47,VLOOKUP(F47,'2. AWARDS'!$C$9:$O$35,13,FALSE)=0),X47*(1+P47)*(1+(R47/9)),IF(AND(O47&lt;N47,O47&gt;Q47),X47*(1+P47)*(1+(R47/9)),IF(AND(E47='2. AWARDS'!F33,O47=MAX(N47,Q47),VLOOKUP(F47,'2. AWARDS'!$C$9:$O$35,9,FALSE)&lt;&gt;0),VLOOKUP(F47,'2. AWARDS'!$C$9:$O$35,9,FALSE)*(1+P47)*(1+(R47/9)),IF(AND(E47='2. AWARDS'!F33,O47=MAX(N47,Q47),VLOOKUP(F47,'2. AWARDS'!$C$9:$O$35,9,FALSE)=0),X47*(1+P47)*(1+(R47/9)),IF(AND(E47='2. AWARDS'!G33,O47=MAX(N47,Q47),VLOOKUP(F47,'2. AWARDS'!$C$9:$O$35,10,FALSE)&lt;&gt;0),VLOOKUP(F47,'2. AWARDS'!$C$9:$O$35,10,FALSE)*(1+P47)*(1+(R47/9)),IF(AND(E47='2. AWARDS'!G33,O47=MAX(N47,Q47),VLOOKUP(F47,'2. AWARDS'!$C$9:$O$35,10,FALSE)=0),X47*(1+P47)*(1+(R47/9)),IF(AND(E47='2. AWARDS'!H33,O47=MAX(N47,Q47),VLOOKUP(F47,'2. AWARDS'!$C$9:$O$35,11,FALSE)&lt;&gt;0),VLOOKUP(F47,'2. AWARDS'!$C$9:$O$35,11,FALSE)*(1+P47)*(1+(R47/9)),IF(AND(E47='2. AWARDS'!H33,O47=MAX(N47,Q47),VLOOKUP(F47,'2. AWARDS'!$C$9:$O$35,11,FALSE)=0),X47*(1+P47)*(1+(R47/9)),IF(AND(E47='2. AWARDS'!I33,O47=MAX(N47,Q47),VLOOKUP(F47,'2. AWARDS'!$C$9:$O$35,12,FALSE)&lt;&gt;0),VLOOKUP(F47,'2. AWARDS'!$C$9:$O$35,12,FALSE)*(1+P47)*(1+(R47/9)),IF(AND(E47='2. AWARDS'!I33,O47=MAX(N47,Q47),VLOOKUP(F47,'2. AWARDS'!$C$9:$O$35,12,FALSE)=0),X47*(1+P47)*(1+(R47/9)),IF(AND(E47='2. AWARDS'!J33,O47=MAX(N47,Q47),VLOOKUP(F47,'2. AWARDS'!$C$9:$O$35,13,FALSE)&lt;&gt;0),VLOOKUP(F47,'2. AWARDS'!$C$9:$O$35,13,FALSE)*(1+P47)*(1+(R47/9)),IF(AND(E47='2. AWARDS'!J33,O47=MAX(N47,Q47),VLOOKUP(F47,'2. AWARDS'!$C$9:$O$35,13,FALSE)=0),X47*(1+P47)*(1+(R47/9)),IF(AND(O47&lt;N47,O47&lt;Q47),X47*(1+P47),IF(AND(O47=N47,N47&lt;Q47,E47='2. AWARDS'!F33),VLOOKUP(F47,'2. AWARDS'!$C$9:$O$35,9,FALSE)*(1+P47),IF(AND(O47=N47,N47&lt;Q47,E47='2. AWARDS'!G33),VLOOKUP(F47,'2. AWARDS'!$C$9:$O$35,10,FALSE)*(1+P47),IF(AND(O47=N47,N47&lt;Q47,E47='2. AWARDS'!H33),VLOOKUP(F47,'2. AWARDS'!$C$9:$O$35,11,FALSE)*(1+P47),IF(AND(O47=N47,N47&lt;Q47,E47='2. AWARDS'!I33),VLOOKUP(F47,'2. AWARDS'!$C$9:$O$35,12,FALSE)*(1+P47),IF(AND(O47=N47,N47&lt;Q47,E47='2. AWARDS'!J33),VLOOKUP(F47,'2. AWARDS'!$C$9:$O$35,13,FALSE)*(1+P47),IF(AND(O47=Q47,N47&gt;Q47),X47*(1+P47)*(1+(R47/9)),IF(AND(E47='2. AWARDS'!F33,O47&gt;N47,O47&lt;Q47,VLOOKUP(F47,'2. AWARDS'!$C$9:$O$35,9,FALSE)&lt;&gt;0),VLOOKUP(F47,'2. AWARDS'!$C$9:$O$35,9,FALSE)*(1+P47),IF(AND(E47='2. AWARDS'!G33,O47&gt;N47,O47&lt;Q47,VLOOKUP(F47,'2. AWARDS'!$C$9:$O$35,10,FALSE)&lt;&gt;0),VLOOKUP(F47,'2. AWARDS'!$C$9:$O$35,10,FALSE)*(1+P47),IF(AND(E47='2. AWARDS'!H33,O47&gt;N47,O47&lt;Q47,VLOOKUP(F47,'2. AWARDS'!$C$9:$O$35,11,FALSE)&lt;&gt;0),VLOOKUP(F47,'2. AWARDS'!$C$9:$O$35,11,FALSE)*(1+P47),IF(AND(E47='2. AWARDS'!I33,O47&gt;N47,O47&lt;Q47,VLOOKUP(F47,'2. AWARDS'!$C$9:$O$35,12,FALSE)&lt;&gt;0),VLOOKUP(F47,'2. AWARDS'!$C$9:$O$35,12,FALSE)*(1+P47),IF(AND(E47='2. AWARDS'!J33,O47&gt;N47,O47&lt;Q47,VLOOKUP(F47,'2. AWARDS'!$C$9:$O$35,13,FALSE)&lt;&gt;0),VLOOKUP(F47,'2. AWARDS'!$C$9:$O$35,13,FALSE)*(1+P47),X47*(1+P47))))))))))))))))))))))))))))))))))</f>
        <v>#N/A</v>
      </c>
      <c r="AA47" s="661" t="e">
        <f t="shared" si="35"/>
        <v>#N/A</v>
      </c>
      <c r="AB47" s="683"/>
      <c r="AC47" s="774"/>
      <c r="AD47" s="774"/>
      <c r="AE47" s="777"/>
      <c r="AF47" s="781">
        <f t="shared" si="20"/>
        <v>0</v>
      </c>
      <c r="AG47" s="781" t="e">
        <f>HLOOKUP(E47,'2. AWARDS'!$F$7:$J$40,32,FALSE)/5*HLOOKUP(E47,'2. AWARDS'!$F$7:$J$40,31,FALSE)*MAX(W47:AA47)*M47*HLOOKUP(E47,'2. AWARDS'!$F$7:$J$40,34,FALSE)*(L47/(38*2))</f>
        <v>#N/A</v>
      </c>
      <c r="AH47" s="783" t="e">
        <f>((HLOOKUP(E47,'2. AWARDS'!$F$7:$J$42,36,FALSE)/HLOOKUP(E47,'2. AWARDS'!$F$7:$J$42,35,FALSE)*HLOOKUP(E47,'2. AWARDS'!$F$7:$J$45,39,FALSE))/(HLOOKUP(E47,'2. AWARDS'!$F$7:$J$45,31,FALSE)*2)*L47*M47*HLOOKUP(E47,'2. AWARDS'!$F$7:$J$45,31,FALSE)*MAX(W47:AA47))</f>
        <v>#N/A</v>
      </c>
      <c r="AI47" s="474"/>
      <c r="AJ47" s="804"/>
      <c r="AK47" s="801"/>
      <c r="AL47" s="801"/>
      <c r="AM47" s="802"/>
      <c r="AN47" s="1012"/>
      <c r="AO47" s="836">
        <f>IF(AJ47="YES",HLOOKUP(E47,'2. AWARDS'!$F$7:$J$38,32,FALSE)/5*HLOOKUP(E47,'2. AWARDS'!$F$7:$J$37,31,FALSE)*L47/(HLOOKUP(E47,'2. AWARDS'!$F$7:$J$37,31,FALSE)*2)*M47*MAX(W47:AA47)*(1+HLOOKUP(E47,'2. AWARDS'!$F$7:$J$43,37,FALSE))*(1-AM47),0)</f>
        <v>0</v>
      </c>
      <c r="AP47" s="836">
        <f>IF(AK47="YES",HLOOKUP(E47,'2. AWARDS'!$F$7:$J$39,33,FALSE)/5*HLOOKUP(E47,'2. AWARDS'!$F$7:$J$37,31,FALSE)*L47/(HLOOKUP(E47,'2. AWARDS'!$F$7:$J$37,31,FALSE)*2)*M47*MAX(W47:AA47)*(1+HLOOKUP(E47,'2. AWARDS'!$F$7:$J$43,37,FALSE))*(1-AM47),0)</f>
        <v>0</v>
      </c>
      <c r="AQ47" s="838">
        <f>IF(AL47="YES",HLOOKUP(E47,'2. AWARDS'!$F$7:$J$47,40,FALSE)/5*HLOOKUP(E47,'2. AWARDS'!$F$7:$J$37,31,FALSE)*L47/(HLOOKUP(E47,'2. AWARDS'!$F$7:$J$37,31,FALSE)*2)*M47*MAX(W47:AA47)*(1+HLOOKUP(E47,'2. AWARDS'!$F$7:$J$43,37,FALSE))*(1-AM47),0)</f>
        <v>0</v>
      </c>
      <c r="AR47" s="839">
        <f>(IF(AJ47="YES",HLOOKUP(E47,'2. AWARDS'!$F$7:$J$39,32,FALSE),0)+IF(AK47="YES",HLOOKUP(E47,'2. AWARDS'!$F$7:$J$39,33,FALSE),0)+IF(AL47="YES",HLOOKUP(E47,'2. AWARDS'!$F$7:$J$47,40,FALSE),0))*L47/76*7.6*AM47*AN47*M47</f>
        <v>0</v>
      </c>
      <c r="AS47" s="683"/>
      <c r="AT47" s="802">
        <f>'1. KEY DATA'!J$29</f>
        <v>0</v>
      </c>
      <c r="AU47" s="822">
        <f>'1. KEY DATA'!J$30</f>
        <v>0.09</v>
      </c>
      <c r="AV47" s="502"/>
      <c r="AW47" s="478">
        <f t="shared" si="21"/>
        <v>0</v>
      </c>
      <c r="AX47" s="502"/>
      <c r="AY47" s="998"/>
      <c r="AZ47" s="999"/>
      <c r="BA47" s="999"/>
      <c r="BB47" s="999"/>
      <c r="BC47" s="999"/>
      <c r="BD47" s="999"/>
      <c r="BE47" s="999"/>
      <c r="BF47" s="999"/>
      <c r="BG47" s="999"/>
      <c r="BH47" s="999"/>
      <c r="BI47" s="1392"/>
      <c r="BJ47" s="1393"/>
      <c r="BK47" s="1393"/>
      <c r="BL47" s="1394"/>
      <c r="BM47" s="301">
        <f t="shared" si="22"/>
        <v>1</v>
      </c>
      <c r="BO47" s="244">
        <f t="shared" si="23"/>
        <v>0</v>
      </c>
      <c r="BP47" s="245">
        <f t="shared" si="24"/>
        <v>0</v>
      </c>
      <c r="BQ47" s="245">
        <f t="shared" si="25"/>
        <v>0</v>
      </c>
      <c r="BR47" s="245">
        <f t="shared" si="26"/>
        <v>0</v>
      </c>
      <c r="BS47" s="245">
        <f t="shared" si="27"/>
        <v>0</v>
      </c>
      <c r="BT47" s="245">
        <f t="shared" si="28"/>
        <v>0</v>
      </c>
      <c r="BU47" s="245">
        <f t="shared" si="29"/>
        <v>0</v>
      </c>
      <c r="BV47" s="245">
        <f t="shared" si="30"/>
        <v>0</v>
      </c>
      <c r="BW47" s="245">
        <f t="shared" si="31"/>
        <v>0</v>
      </c>
      <c r="BX47" s="246">
        <f t="shared" si="32"/>
        <v>0</v>
      </c>
      <c r="BY47" s="1380"/>
      <c r="BZ47" s="1381"/>
      <c r="CA47" s="1381"/>
      <c r="CB47" s="1382"/>
    </row>
    <row r="48" spans="1:80">
      <c r="A48">
        <f t="shared" si="0"/>
        <v>28</v>
      </c>
      <c r="B48" s="217"/>
      <c r="C48" s="214"/>
      <c r="D48" s="699">
        <f t="shared" si="33"/>
        <v>0</v>
      </c>
      <c r="E48" s="626"/>
      <c r="F48" s="900"/>
      <c r="G48" s="702"/>
      <c r="H48" s="693"/>
      <c r="I48" s="694"/>
      <c r="J48" s="1113"/>
      <c r="K48" s="1114"/>
      <c r="L48" s="1109"/>
      <c r="M48" s="689"/>
      <c r="N48" s="629"/>
      <c r="O48" s="629"/>
      <c r="P48" s="638">
        <f t="shared" si="36"/>
        <v>0.03</v>
      </c>
      <c r="Q48" s="629"/>
      <c r="R48" s="673" t="str">
        <f t="shared" si="17"/>
        <v>-</v>
      </c>
      <c r="S48" s="649"/>
      <c r="T48" s="647"/>
      <c r="U48" s="827"/>
      <c r="V48" s="670"/>
      <c r="W48" s="798">
        <f t="shared" si="18"/>
        <v>0</v>
      </c>
      <c r="X48" s="656">
        <f>IF(OR(E48=0,F48=0),0,IF(E48='2. AWARDS'!F$7,VLOOKUP(F48,'2. AWARDS'!$C$9:$F$35,4,FALSE),IF(E48='2. AWARDS'!G$7,VLOOKUP(F48,'2. AWARDS'!$C$9:$G$35,5,FALSE),IF(E48='2. AWARDS'!H$7,VLOOKUP(F48,'2. AWARDS'!$C$9:$H$35,6,FALSE),IF(E48='2. AWARDS'!I$7,VLOOKUP(F48,'2. AWARDS'!$C$9:$I$35,7,FALSE),VLOOKUP(F48,'2. AWARDS'!$C$9:$J$35,8,FALSE))))))</f>
        <v>0</v>
      </c>
      <c r="Y48" s="980">
        <f>IF(OR(E48=0,F48=0),0,IF(AND(N48=0,E48='2. AWARDS'!F$7,VLOOKUP(F48,'2. AWARDS'!$C$9:$O$35,9,FALSE)&lt;&gt;0),"date missing",IF(AND(N48=0,E48='2. AWARDS'!G$7,VLOOKUP(F48,'2. AWARDS'!$C$9:$O$35,10,FALSE)&lt;&gt;0),"date missing",IF(AND(N48=0,E48='2. AWARDS'!H$7,VLOOKUP(F48,'2. AWARDS'!$C$9:$O$35,11,FALSE)&lt;&gt;0),"date missing",IF(AND(N48=0,E48='2. AWARDS'!I$7,VLOOKUP(F48,'2. AWARDS'!$C$9:$O$35,12,FALSE)&lt;&gt;0),"date missing",IF(AND(N48=0,E48='2. AWARDS'!J$7,VLOOKUP(F48,'2. AWARDS'!$C$9:$O$35,13,FALSE)&lt;&gt;0),"date missing",IF(N48=0,0,IF(OR(N48=MIN(O48,Q48),AND(N48&lt;O48,N48&lt;Q48,N48&gt;0)),IF(E48='2. AWARDS'!F$7,VLOOKUP(F48,'2. AWARDS'!$C$9:$O$35,9,FALSE),IF(E48='2. AWARDS'!G$7,VLOOKUP(F48,'2. AWARDS'!$C$9:$O$35,10,FALSE),IF(E48='2. AWARDS'!H$7,VLOOKUP(F48,'2. AWARDS'!$C$9:$O$35,11,FALSE),IF(E48='2. AWARDS'!I$7,VLOOKUP(F48,'2. AWARDS'!$C$9:$O$35,12,FALSE),IF(E48='2. AWARDS'!J$7,VLOOKUP(F48,'2. AWARDS'!$C$9:$O$35,13,FALSE)))))),IF(AND(N48&gt;O48,N48&lt;Q48),IF(E48='2. AWARDS'!F$7,(1+P48)*VLOOKUP(F48,'2. AWARDS'!$C$9:$O$35,9,FALSE),IF(E48='2. AWARDS'!G$7,(1+P48)*VLOOKUP(F48,'2. AWARDS'!$C$9:$O$35,10,FALSE),IF(E48='2. AWARDS'!H$7,(1+P48)*VLOOKUP(F48,'2. AWARDS'!$C$9:$O$35,11,FALSE),IF(E48='2. AWARDS'!I$7,(1+P48)*VLOOKUP(F48,'2. AWARDS'!$C$9:$O$35,12,FALSE),IF(E48='2. AWARDS'!J$7,(1+P48)*VLOOKUP(F48,'2. AWARDS'!$C$9:$O$35,13,FALSE)))))),IF(AND(N48&lt;O48,N48&gt;Q48),IF(E48='2. AWARDS'!F$7,(1+(R48/9))*VLOOKUP(F48,'2. AWARDS'!$C$9:$O$35,9,FALSE),IF(E48='2. AWARDS'!G$7,(1+(R48/9))*VLOOKUP(F48,'2. AWARDS'!$C$9:$O$35,10,FALSE),IF(E48='2. AWARDS'!H$7,(1+(R48/9))*VLOOKUP(F48,'2. AWARDS'!$C$9:$O$35,11,FALSE),IF(E48='2. AWARDS'!I$7,(1+(R48/9))*VLOOKUP(F48,'2. AWARDS'!$C$9:$O$35,12,FALSE),IF(E48='2. AWARDS'!J$7,(1+(R48/9))*VLOOKUP(F48,'2. AWARDS'!$C$9:$O$35,13,FALSE)))))),IF(OR(N48=MAX(O48,Q48),AND(N48&gt;O48,N48&gt;Q48)),IF(E48='2. AWARDS'!F$7,((1+(R48/9))*(1+P48))*VLOOKUP(F48,'2. AWARDS'!$C$9:$O$35,9,FALSE),IF(E48='2. AWARDS'!G$7,((1+(R48/9))*(1+P48))*VLOOKUP(F48,'2. AWARDS'!$C$9:$O$35,10,FALSE),IF(E48='2. AWARDS'!H$7,((1+(R48/9))*(1+P48))*VLOOKUP(F48,'2. AWARDS'!$C$9:$O$35,11,FALSE),IF(E48='2. AWARDS'!I$7,((1+(R48/9))*(1+P48))*VLOOKUP(F48,'2. AWARDS'!$C$9:$O$35,12,FALSE),IF(E48='2. AWARDS'!J$7,((1+(R48/9))*(1+P48))*VLOOKUP(F48,'2. AWARDS'!$C$9:$O$35,13,FALSE)))))),"?")))))))))))</f>
        <v>0</v>
      </c>
      <c r="Z48" s="1093" t="e">
        <f>IF(AND(E48='2. AWARDS'!F34,O48&gt;N48,O48&gt;Q48,VLOOKUP(F48,'2. AWARDS'!$C$9:$O$35,9,FALSE)&lt;&gt;0),VLOOKUP(F48,'2. AWARDS'!$C$9:$O$35,9,FALSE)*(1+P48)*(1+(R48/9)),IF(AND(E48='2. AWARDS'!F34,O48&gt;N48,O48&gt;Q48,VLOOKUP(F48,'2. AWARDS'!$C$9:$O$35,9,FALSE)=0),X48*(1+P48)*(1+(R48/9)),IF(AND(E48='2. AWARDS'!G34,O48&gt;N48,O48&gt;Q48,VLOOKUP(F48,'2. AWARDS'!$C$9:$O$35,10,FALSE)&lt;&gt;0),VLOOKUP(F48,'2. AWARDS'!$C$9:$O$35,10,FALSE)*(1+P48)*(1+(R48/9)),IF(AND(E48='2. AWARDS'!G34,O48&gt;N48,O48&gt;Q48,VLOOKUP(F48,'2. AWARDS'!$C$9:$O$35,10,FALSE)=0),X48*(1+P48)*(1+(R48/9)),IF(AND(E48='2. AWARDS'!H34,O48&gt;N48,O48&gt;Q48,VLOOKUP(F48,'2. AWARDS'!$C$9:$O$35,11,FALSE)&lt;&gt;0),VLOOKUP(F48,'2. AWARDS'!$C$9:$O$35,11,FALSE)*(1+P48)*(1+(R48/9)),IF(AND(E48='2. AWARDS'!H34,O48&gt;N48,O48&gt;Q48,VLOOKUP(F48,'2. AWARDS'!$C$9:$O$35,11,FALSE)=0),X48*(1+P48)*(1+(R48/9)),IF(AND(E48='2. AWARDS'!I34,O48&gt;N48,O48&gt;Q48,VLOOKUP(F48,'2. AWARDS'!$C$9:$O$35,12,FALSE)&lt;&gt;0),VLOOKUP(F48,'2. AWARDS'!$C$9:$O$35,12,FALSE)*(1+P48)*(1+(R48/9)),IF(AND(E48='2. AWARDS'!I34,O48&gt;N48,O48&gt;Q48,VLOOKUP(F48,'2. AWARDS'!$C$9:$O$35,12,FALSE)=0),X48*(1+P48)*(1+(R48/9)),IF(AND(E48='2. AWARDS'!J34,O48&gt;N48,O48&gt;Q48,VLOOKUP(F48,'2. AWARDS'!$C$9:$O$35,13,FALSE)&lt;&gt;0),VLOOKUP(F48,'2. AWARDS'!$C$9:$O$35,13,FALSE)*(1+P48)*(1+(R48/9)),IF(AND(E48='2. AWARDS'!J34,O48&gt;N48,O48&gt;Q48,VLOOKUP(F48,'2. AWARDS'!$C$9:$O$35,13,FALSE)=0),X48*(1+P48)*(1+(R48/9)),IF(AND(O48&lt;N48,O48&gt;Q48),X48*(1+P48)*(1+(R48/9)),IF(AND(E48='2. AWARDS'!F34,O48=MAX(N48,Q48),VLOOKUP(F48,'2. AWARDS'!$C$9:$O$35,9,FALSE)&lt;&gt;0),VLOOKUP(F48,'2. AWARDS'!$C$9:$O$35,9,FALSE)*(1+P48)*(1+(R48/9)),IF(AND(E48='2. AWARDS'!F34,O48=MAX(N48,Q48),VLOOKUP(F48,'2. AWARDS'!$C$9:$O$35,9,FALSE)=0),X48*(1+P48)*(1+(R48/9)),IF(AND(E48='2. AWARDS'!G34,O48=MAX(N48,Q48),VLOOKUP(F48,'2. AWARDS'!$C$9:$O$35,10,FALSE)&lt;&gt;0),VLOOKUP(F48,'2. AWARDS'!$C$9:$O$35,10,FALSE)*(1+P48)*(1+(R48/9)),IF(AND(E48='2. AWARDS'!G34,O48=MAX(N48,Q48),VLOOKUP(F48,'2. AWARDS'!$C$9:$O$35,10,FALSE)=0),X48*(1+P48)*(1+(R48/9)),IF(AND(E48='2. AWARDS'!H34,O48=MAX(N48,Q48),VLOOKUP(F48,'2. AWARDS'!$C$9:$O$35,11,FALSE)&lt;&gt;0),VLOOKUP(F48,'2. AWARDS'!$C$9:$O$35,11,FALSE)*(1+P48)*(1+(R48/9)),IF(AND(E48='2. AWARDS'!H34,O48=MAX(N48,Q48),VLOOKUP(F48,'2. AWARDS'!$C$9:$O$35,11,FALSE)=0),X48*(1+P48)*(1+(R48/9)),IF(AND(E48='2. AWARDS'!I34,O48=MAX(N48,Q48),VLOOKUP(F48,'2. AWARDS'!$C$9:$O$35,12,FALSE)&lt;&gt;0),VLOOKUP(F48,'2. AWARDS'!$C$9:$O$35,12,FALSE)*(1+P48)*(1+(R48/9)),IF(AND(E48='2. AWARDS'!I34,O48=MAX(N48,Q48),VLOOKUP(F48,'2. AWARDS'!$C$9:$O$35,12,FALSE)=0),X48*(1+P48)*(1+(R48/9)),IF(AND(E48='2. AWARDS'!J34,O48=MAX(N48,Q48),VLOOKUP(F48,'2. AWARDS'!$C$9:$O$35,13,FALSE)&lt;&gt;0),VLOOKUP(F48,'2. AWARDS'!$C$9:$O$35,13,FALSE)*(1+P48)*(1+(R48/9)),IF(AND(E48='2. AWARDS'!J34,O48=MAX(N48,Q48),VLOOKUP(F48,'2. AWARDS'!$C$9:$O$35,13,FALSE)=0),X48*(1+P48)*(1+(R48/9)),IF(AND(O48&lt;N48,O48&lt;Q48),X48*(1+P48),IF(AND(O48=N48,N48&lt;Q48,E48='2. AWARDS'!F34),VLOOKUP(F48,'2. AWARDS'!$C$9:$O$35,9,FALSE)*(1+P48),IF(AND(O48=N48,N48&lt;Q48,E48='2. AWARDS'!G34),VLOOKUP(F48,'2. AWARDS'!$C$9:$O$35,10,FALSE)*(1+P48),IF(AND(O48=N48,N48&lt;Q48,E48='2. AWARDS'!H34),VLOOKUP(F48,'2. AWARDS'!$C$9:$O$35,11,FALSE)*(1+P48),IF(AND(O48=N48,N48&lt;Q48,E48='2. AWARDS'!I34),VLOOKUP(F48,'2. AWARDS'!$C$9:$O$35,12,FALSE)*(1+P48),IF(AND(O48=N48,N48&lt;Q48,E48='2. AWARDS'!J34),VLOOKUP(F48,'2. AWARDS'!$C$9:$O$35,13,FALSE)*(1+P48),IF(AND(O48=Q48,N48&gt;Q48),X48*(1+P48)*(1+(R48/9)),IF(AND(E48='2. AWARDS'!F34,O48&gt;N48,O48&lt;Q48,VLOOKUP(F48,'2. AWARDS'!$C$9:$O$35,9,FALSE)&lt;&gt;0),VLOOKUP(F48,'2. AWARDS'!$C$9:$O$35,9,FALSE)*(1+P48),IF(AND(E48='2. AWARDS'!G34,O48&gt;N48,O48&lt;Q48,VLOOKUP(F48,'2. AWARDS'!$C$9:$O$35,10,FALSE)&lt;&gt;0),VLOOKUP(F48,'2. AWARDS'!$C$9:$O$35,10,FALSE)*(1+P48),IF(AND(E48='2. AWARDS'!H34,O48&gt;N48,O48&lt;Q48,VLOOKUP(F48,'2. AWARDS'!$C$9:$O$35,11,FALSE)&lt;&gt;0),VLOOKUP(F48,'2. AWARDS'!$C$9:$O$35,11,FALSE)*(1+P48),IF(AND(E48='2. AWARDS'!I34,O48&gt;N48,O48&lt;Q48,VLOOKUP(F48,'2. AWARDS'!$C$9:$O$35,12,FALSE)&lt;&gt;0),VLOOKUP(F48,'2. AWARDS'!$C$9:$O$35,12,FALSE)*(1+P48),IF(AND(E48='2. AWARDS'!J34,O48&gt;N48,O48&lt;Q48,VLOOKUP(F48,'2. AWARDS'!$C$9:$O$35,13,FALSE)&lt;&gt;0),VLOOKUP(F48,'2. AWARDS'!$C$9:$O$35,13,FALSE)*(1+P48),X48*(1+P48))))))))))))))))))))))))))))))))))</f>
        <v>#N/A</v>
      </c>
      <c r="AA48" s="661" t="e">
        <f t="shared" si="35"/>
        <v>#N/A</v>
      </c>
      <c r="AB48" s="683"/>
      <c r="AC48" s="774"/>
      <c r="AD48" s="774"/>
      <c r="AE48" s="777"/>
      <c r="AF48" s="781">
        <f t="shared" si="20"/>
        <v>0</v>
      </c>
      <c r="AG48" s="781" t="e">
        <f>HLOOKUP(E48,'2. AWARDS'!$F$7:$J$40,32,FALSE)/5*HLOOKUP(E48,'2. AWARDS'!$F$7:$J$40,31,FALSE)*MAX(W48:AA48)*M48*HLOOKUP(E48,'2. AWARDS'!$F$7:$J$40,34,FALSE)*(L48/(38*2))</f>
        <v>#N/A</v>
      </c>
      <c r="AH48" s="783" t="e">
        <f>((HLOOKUP(E48,'2. AWARDS'!$F$7:$J$42,36,FALSE)/HLOOKUP(E48,'2. AWARDS'!$F$7:$J$42,35,FALSE)*HLOOKUP(E48,'2. AWARDS'!$F$7:$J$45,39,FALSE))/(HLOOKUP(E48,'2. AWARDS'!$F$7:$J$45,31,FALSE)*2)*L48*M48*HLOOKUP(E48,'2. AWARDS'!$F$7:$J$45,31,FALSE)*MAX(W48:AA48))</f>
        <v>#N/A</v>
      </c>
      <c r="AI48" s="474"/>
      <c r="AJ48" s="804"/>
      <c r="AK48" s="801"/>
      <c r="AL48" s="801"/>
      <c r="AM48" s="802"/>
      <c r="AN48" s="1012"/>
      <c r="AO48" s="836">
        <f>IF(AJ48="YES",HLOOKUP(E48,'2. AWARDS'!$F$7:$J$38,32,FALSE)/5*HLOOKUP(E48,'2. AWARDS'!$F$7:$J$37,31,FALSE)*L48/(HLOOKUP(E48,'2. AWARDS'!$F$7:$J$37,31,FALSE)*2)*M48*MAX(W48:AA48)*(1+HLOOKUP(E48,'2. AWARDS'!$F$7:$J$43,37,FALSE))*(1-AM48),0)</f>
        <v>0</v>
      </c>
      <c r="AP48" s="836">
        <f>IF(AK48="YES",HLOOKUP(E48,'2. AWARDS'!$F$7:$J$39,33,FALSE)/5*HLOOKUP(E48,'2. AWARDS'!$F$7:$J$37,31,FALSE)*L48/(HLOOKUP(E48,'2. AWARDS'!$F$7:$J$37,31,FALSE)*2)*M48*MAX(W48:AA48)*(1+HLOOKUP(E48,'2. AWARDS'!$F$7:$J$43,37,FALSE))*(1-AM48),0)</f>
        <v>0</v>
      </c>
      <c r="AQ48" s="838">
        <f>IF(AL48="YES",HLOOKUP(E48,'2. AWARDS'!$F$7:$J$47,40,FALSE)/5*HLOOKUP(E48,'2. AWARDS'!$F$7:$J$37,31,FALSE)*L48/(HLOOKUP(E48,'2. AWARDS'!$F$7:$J$37,31,FALSE)*2)*M48*MAX(W48:AA48)*(1+HLOOKUP(E48,'2. AWARDS'!$F$7:$J$43,37,FALSE))*(1-AM48),0)</f>
        <v>0</v>
      </c>
      <c r="AR48" s="839">
        <f>(IF(AJ48="YES",HLOOKUP(E48,'2. AWARDS'!$F$7:$J$39,32,FALSE),0)+IF(AK48="YES",HLOOKUP(E48,'2. AWARDS'!$F$7:$J$39,33,FALSE),0)+IF(AL48="YES",HLOOKUP(E48,'2. AWARDS'!$F$7:$J$47,40,FALSE),0))*L48/76*7.6*AM48*AN48*M48</f>
        <v>0</v>
      </c>
      <c r="AS48" s="683"/>
      <c r="AT48" s="802">
        <f>'1. KEY DATA'!J$29</f>
        <v>0</v>
      </c>
      <c r="AU48" s="822">
        <f>'1. KEY DATA'!J$30</f>
        <v>0.09</v>
      </c>
      <c r="AV48" s="502"/>
      <c r="AW48" s="478">
        <f t="shared" si="21"/>
        <v>0</v>
      </c>
      <c r="AX48" s="502"/>
      <c r="AY48" s="998"/>
      <c r="AZ48" s="999"/>
      <c r="BA48" s="999"/>
      <c r="BB48" s="999"/>
      <c r="BC48" s="999"/>
      <c r="BD48" s="999"/>
      <c r="BE48" s="999"/>
      <c r="BF48" s="999"/>
      <c r="BG48" s="999"/>
      <c r="BH48" s="999"/>
      <c r="BI48" s="1392"/>
      <c r="BJ48" s="1393"/>
      <c r="BK48" s="1393"/>
      <c r="BL48" s="1394"/>
      <c r="BM48" s="301">
        <f t="shared" si="22"/>
        <v>1</v>
      </c>
      <c r="BO48" s="244">
        <f t="shared" si="23"/>
        <v>0</v>
      </c>
      <c r="BP48" s="245">
        <f t="shared" si="24"/>
        <v>0</v>
      </c>
      <c r="BQ48" s="245">
        <f t="shared" si="25"/>
        <v>0</v>
      </c>
      <c r="BR48" s="245">
        <f t="shared" si="26"/>
        <v>0</v>
      </c>
      <c r="BS48" s="245">
        <f t="shared" si="27"/>
        <v>0</v>
      </c>
      <c r="BT48" s="245">
        <f t="shared" si="28"/>
        <v>0</v>
      </c>
      <c r="BU48" s="245">
        <f t="shared" si="29"/>
        <v>0</v>
      </c>
      <c r="BV48" s="245">
        <f t="shared" si="30"/>
        <v>0</v>
      </c>
      <c r="BW48" s="245">
        <f t="shared" si="31"/>
        <v>0</v>
      </c>
      <c r="BX48" s="246">
        <f t="shared" si="32"/>
        <v>0</v>
      </c>
      <c r="BY48" s="1380"/>
      <c r="BZ48" s="1381"/>
      <c r="CA48" s="1381"/>
      <c r="CB48" s="1382"/>
    </row>
    <row r="49" spans="1:80" ht="15.75" thickBot="1">
      <c r="A49">
        <f t="shared" si="0"/>
        <v>29</v>
      </c>
      <c r="B49" s="219"/>
      <c r="C49" s="214"/>
      <c r="D49" s="700">
        <f t="shared" si="33"/>
        <v>0</v>
      </c>
      <c r="E49" s="627"/>
      <c r="F49" s="901"/>
      <c r="G49" s="687"/>
      <c r="H49" s="695"/>
      <c r="I49" s="696"/>
      <c r="J49" s="1115"/>
      <c r="K49" s="1116"/>
      <c r="L49" s="1110"/>
      <c r="M49" s="690"/>
      <c r="N49" s="630"/>
      <c r="O49" s="630"/>
      <c r="P49" s="639">
        <f t="shared" si="36"/>
        <v>0.03</v>
      </c>
      <c r="Q49" s="630"/>
      <c r="R49" s="674" t="str">
        <f t="shared" si="17"/>
        <v>-</v>
      </c>
      <c r="S49" s="649"/>
      <c r="T49" s="648"/>
      <c r="U49" s="829"/>
      <c r="V49" s="671"/>
      <c r="W49" s="799">
        <f t="shared" si="18"/>
        <v>0</v>
      </c>
      <c r="X49" s="1094">
        <f>IF(OR(E49=0,F49=0),0,IF(E49='2. AWARDS'!F$7,VLOOKUP(F49,'2. AWARDS'!$C$9:$F$35,4,FALSE),IF(E49='2. AWARDS'!G$7,VLOOKUP(F49,'2. AWARDS'!$C$9:$G$35,5,FALSE),IF(E49='2. AWARDS'!H$7,VLOOKUP(F49,'2. AWARDS'!$C$9:$H$35,6,FALSE),IF(E49='2. AWARDS'!I$7,VLOOKUP(F49,'2. AWARDS'!$C$9:$I$35,7,FALSE),VLOOKUP(F49,'2. AWARDS'!$C$9:$J$35,8,FALSE))))))</f>
        <v>0</v>
      </c>
      <c r="Y49" s="1095">
        <f>IF(OR(E49=0,F49=0),0,IF(AND(N49=0,E49='2. AWARDS'!F$7,VLOOKUP(F49,'2. AWARDS'!$C$9:$O$35,9,FALSE)&lt;&gt;0),"date missing",IF(AND(N49=0,E49='2. AWARDS'!G$7,VLOOKUP(F49,'2. AWARDS'!$C$9:$O$35,10,FALSE)&lt;&gt;0),"date missing",IF(AND(N49=0,E49='2. AWARDS'!H$7,VLOOKUP(F49,'2. AWARDS'!$C$9:$O$35,11,FALSE)&lt;&gt;0),"date missing",IF(AND(N49=0,E49='2. AWARDS'!I$7,VLOOKUP(F49,'2. AWARDS'!$C$9:$O$35,12,FALSE)&lt;&gt;0),"date missing",IF(AND(N49=0,E49='2. AWARDS'!J$7,VLOOKUP(F49,'2. AWARDS'!$C$9:$O$35,13,FALSE)&lt;&gt;0),"date missing",IF(N49=0,0,IF(OR(N49=MIN(O49,Q49),AND(N49&lt;O49,N49&lt;Q49,N49&gt;0)),IF(E49='2. AWARDS'!F$7,VLOOKUP(F49,'2. AWARDS'!$C$9:$O$35,9,FALSE),IF(E49='2. AWARDS'!G$7,VLOOKUP(F49,'2. AWARDS'!$C$9:$O$35,10,FALSE),IF(E49='2. AWARDS'!H$7,VLOOKUP(F49,'2. AWARDS'!$C$9:$O$35,11,FALSE),IF(E49='2. AWARDS'!I$7,VLOOKUP(F49,'2. AWARDS'!$C$9:$O$35,12,FALSE),IF(E49='2. AWARDS'!J$7,VLOOKUP(F49,'2. AWARDS'!$C$9:$O$35,13,FALSE)))))),IF(AND(N49&gt;O49,N49&lt;Q49),IF(E49='2. AWARDS'!F$7,(1+P49)*VLOOKUP(F49,'2. AWARDS'!$C$9:$O$35,9,FALSE),IF(E49='2. AWARDS'!G$7,(1+P49)*VLOOKUP(F49,'2. AWARDS'!$C$9:$O$35,10,FALSE),IF(E49='2. AWARDS'!H$7,(1+P49)*VLOOKUP(F49,'2. AWARDS'!$C$9:$O$35,11,FALSE),IF(E49='2. AWARDS'!I$7,(1+P49)*VLOOKUP(F49,'2. AWARDS'!$C$9:$O$35,12,FALSE),IF(E49='2. AWARDS'!J$7,(1+P49)*VLOOKUP(F49,'2. AWARDS'!$C$9:$O$35,13,FALSE)))))),IF(AND(N49&lt;O49,N49&gt;Q49),IF(E49='2. AWARDS'!F$7,(1+(R49/9))*VLOOKUP(F49,'2. AWARDS'!$C$9:$O$35,9,FALSE),IF(E49='2. AWARDS'!G$7,(1+(R49/9))*VLOOKUP(F49,'2. AWARDS'!$C$9:$O$35,10,FALSE),IF(E49='2. AWARDS'!H$7,(1+(R49/9))*VLOOKUP(F49,'2. AWARDS'!$C$9:$O$35,11,FALSE),IF(E49='2. AWARDS'!I$7,(1+(R49/9))*VLOOKUP(F49,'2. AWARDS'!$C$9:$O$35,12,FALSE),IF(E49='2. AWARDS'!J$7,(1+(R49/9))*VLOOKUP(F49,'2. AWARDS'!$C$9:$O$35,13,FALSE)))))),IF(OR(N49=MAX(O49,Q49),AND(N49&gt;O49,N49&gt;Q49)),IF(E49='2. AWARDS'!F$7,((1+(R49/9))*(1+P49))*VLOOKUP(F49,'2. AWARDS'!$C$9:$O$35,9,FALSE),IF(E49='2. AWARDS'!G$7,((1+(R49/9))*(1+P49))*VLOOKUP(F49,'2. AWARDS'!$C$9:$O$35,10,FALSE),IF(E49='2. AWARDS'!H$7,((1+(R49/9))*(1+P49))*VLOOKUP(F49,'2. AWARDS'!$C$9:$O$35,11,FALSE),IF(E49='2. AWARDS'!I$7,((1+(R49/9))*(1+P49))*VLOOKUP(F49,'2. AWARDS'!$C$9:$O$35,12,FALSE),IF(E49='2. AWARDS'!J$7,((1+(R49/9))*(1+P49))*VLOOKUP(F49,'2. AWARDS'!$C$9:$O$35,13,FALSE)))))),"?")))))))))))</f>
        <v>0</v>
      </c>
      <c r="Z49" s="1096" t="e">
        <f>IF(AND(E49='2. AWARDS'!F35,O49&gt;N49,O49&gt;Q49,VLOOKUP(F49,'2. AWARDS'!$C$9:$O$35,9,FALSE)&lt;&gt;0),VLOOKUP(F49,'2. AWARDS'!$C$9:$O$35,9,FALSE)*(1+P49)*(1+(R49/9)),IF(AND(E49='2. AWARDS'!F35,O49&gt;N49,O49&gt;Q49,VLOOKUP(F49,'2. AWARDS'!$C$9:$O$35,9,FALSE)=0),X49*(1+P49)*(1+(R49/9)),IF(AND(E49='2. AWARDS'!G35,O49&gt;N49,O49&gt;Q49,VLOOKUP(F49,'2. AWARDS'!$C$9:$O$35,10,FALSE)&lt;&gt;0),VLOOKUP(F49,'2. AWARDS'!$C$9:$O$35,10,FALSE)*(1+P49)*(1+(R49/9)),IF(AND(E49='2. AWARDS'!G35,O49&gt;N49,O49&gt;Q49,VLOOKUP(F49,'2. AWARDS'!$C$9:$O$35,10,FALSE)=0),X49*(1+P49)*(1+(R49/9)),IF(AND(E49='2. AWARDS'!H35,O49&gt;N49,O49&gt;Q49,VLOOKUP(F49,'2. AWARDS'!$C$9:$O$35,11,FALSE)&lt;&gt;0),VLOOKUP(F49,'2. AWARDS'!$C$9:$O$35,11,FALSE)*(1+P49)*(1+(R49/9)),IF(AND(E49='2. AWARDS'!H35,O49&gt;N49,O49&gt;Q49,VLOOKUP(F49,'2. AWARDS'!$C$9:$O$35,11,FALSE)=0),X49*(1+P49)*(1+(R49/9)),IF(AND(E49='2. AWARDS'!I35,O49&gt;N49,O49&gt;Q49,VLOOKUP(F49,'2. AWARDS'!$C$9:$O$35,12,FALSE)&lt;&gt;0),VLOOKUP(F49,'2. AWARDS'!$C$9:$O$35,12,FALSE)*(1+P49)*(1+(R49/9)),IF(AND(E49='2. AWARDS'!I35,O49&gt;N49,O49&gt;Q49,VLOOKUP(F49,'2. AWARDS'!$C$9:$O$35,12,FALSE)=0),X49*(1+P49)*(1+(R49/9)),IF(AND(E49='2. AWARDS'!J35,O49&gt;N49,O49&gt;Q49,VLOOKUP(F49,'2. AWARDS'!$C$9:$O$35,13,FALSE)&lt;&gt;0),VLOOKUP(F49,'2. AWARDS'!$C$9:$O$35,13,FALSE)*(1+P49)*(1+(R49/9)),IF(AND(E49='2. AWARDS'!J35,O49&gt;N49,O49&gt;Q49,VLOOKUP(F49,'2. AWARDS'!$C$9:$O$35,13,FALSE)=0),X49*(1+P49)*(1+(R49/9)),IF(AND(O49&lt;N49,O49&gt;Q49),X49*(1+P49)*(1+(R49/9)),IF(AND(E49='2. AWARDS'!F35,O49=MAX(N49,Q49),VLOOKUP(F49,'2. AWARDS'!$C$9:$O$35,9,FALSE)&lt;&gt;0),VLOOKUP(F49,'2. AWARDS'!$C$9:$O$35,9,FALSE)*(1+P49)*(1+(R49/9)),IF(AND(E49='2. AWARDS'!F35,O49=MAX(N49,Q49),VLOOKUP(F49,'2. AWARDS'!$C$9:$O$35,9,FALSE)=0),X49*(1+P49)*(1+(R49/9)),IF(AND(E49='2. AWARDS'!G35,O49=MAX(N49,Q49),VLOOKUP(F49,'2. AWARDS'!$C$9:$O$35,10,FALSE)&lt;&gt;0),VLOOKUP(F49,'2. AWARDS'!$C$9:$O$35,10,FALSE)*(1+P49)*(1+(R49/9)),IF(AND(E49='2. AWARDS'!G35,O49=MAX(N49,Q49),VLOOKUP(F49,'2. AWARDS'!$C$9:$O$35,10,FALSE)=0),X49*(1+P49)*(1+(R49/9)),IF(AND(E49='2. AWARDS'!H35,O49=MAX(N49,Q49),VLOOKUP(F49,'2. AWARDS'!$C$9:$O$35,11,FALSE)&lt;&gt;0),VLOOKUP(F49,'2. AWARDS'!$C$9:$O$35,11,FALSE)*(1+P49)*(1+(R49/9)),IF(AND(E49='2. AWARDS'!H35,O49=MAX(N49,Q49),VLOOKUP(F49,'2. AWARDS'!$C$9:$O$35,11,FALSE)=0),X49*(1+P49)*(1+(R49/9)),IF(AND(E49='2. AWARDS'!I35,O49=MAX(N49,Q49),VLOOKUP(F49,'2. AWARDS'!$C$9:$O$35,12,FALSE)&lt;&gt;0),VLOOKUP(F49,'2. AWARDS'!$C$9:$O$35,12,FALSE)*(1+P49)*(1+(R49/9)),IF(AND(E49='2. AWARDS'!I35,O49=MAX(N49,Q49),VLOOKUP(F49,'2. AWARDS'!$C$9:$O$35,12,FALSE)=0),X49*(1+P49)*(1+(R49/9)),IF(AND(E49='2. AWARDS'!J35,O49=MAX(N49,Q49),VLOOKUP(F49,'2. AWARDS'!$C$9:$O$35,13,FALSE)&lt;&gt;0),VLOOKUP(F49,'2. AWARDS'!$C$9:$O$35,13,FALSE)*(1+P49)*(1+(R49/9)),IF(AND(E49='2. AWARDS'!J35,O49=MAX(N49,Q49),VLOOKUP(F49,'2. AWARDS'!$C$9:$O$35,13,FALSE)=0),X49*(1+P49)*(1+(R49/9)),IF(AND(O49&lt;N49,O49&lt;Q49),X49*(1+P49),IF(AND(O49=N49,N49&lt;Q49,E49='2. AWARDS'!F35),VLOOKUP(F49,'2. AWARDS'!$C$9:$O$35,9,FALSE)*(1+P49),IF(AND(O49=N49,N49&lt;Q49,E49='2. AWARDS'!G35),VLOOKUP(F49,'2. AWARDS'!$C$9:$O$35,10,FALSE)*(1+P49),IF(AND(O49=N49,N49&lt;Q49,E49='2. AWARDS'!H35),VLOOKUP(F49,'2. AWARDS'!$C$9:$O$35,11,FALSE)*(1+P49),IF(AND(O49=N49,N49&lt;Q49,E49='2. AWARDS'!I35),VLOOKUP(F49,'2. AWARDS'!$C$9:$O$35,12,FALSE)*(1+P49),IF(AND(O49=N49,N49&lt;Q49,E49='2. AWARDS'!J35),VLOOKUP(F49,'2. AWARDS'!$C$9:$O$35,13,FALSE)*(1+P49),IF(AND(O49=Q49,N49&gt;Q49),X49*(1+P49)*(1+(R49/9)),IF(AND(E49='2. AWARDS'!F35,O49&gt;N49,O49&lt;Q49,VLOOKUP(F49,'2. AWARDS'!$C$9:$O$35,9,FALSE)&lt;&gt;0),VLOOKUP(F49,'2. AWARDS'!$C$9:$O$35,9,FALSE)*(1+P49),IF(AND(E49='2. AWARDS'!G35,O49&gt;N49,O49&lt;Q49,VLOOKUP(F49,'2. AWARDS'!$C$9:$O$35,10,FALSE)&lt;&gt;0),VLOOKUP(F49,'2. AWARDS'!$C$9:$O$35,10,FALSE)*(1+P49),IF(AND(E49='2. AWARDS'!H35,O49&gt;N49,O49&lt;Q49,VLOOKUP(F49,'2. AWARDS'!$C$9:$O$35,11,FALSE)&lt;&gt;0),VLOOKUP(F49,'2. AWARDS'!$C$9:$O$35,11,FALSE)*(1+P49),IF(AND(E49='2. AWARDS'!I35,O49&gt;N49,O49&lt;Q49,VLOOKUP(F49,'2. AWARDS'!$C$9:$O$35,12,FALSE)&lt;&gt;0),VLOOKUP(F49,'2. AWARDS'!$C$9:$O$35,12,FALSE)*(1+P49),IF(AND(E49='2. AWARDS'!J35,O49&gt;N49,O49&lt;Q49,VLOOKUP(F49,'2. AWARDS'!$C$9:$O$35,13,FALSE)&lt;&gt;0),VLOOKUP(F49,'2. AWARDS'!$C$9:$O$35,13,FALSE)*(1+P49),X49*(1+P49))))))))))))))))))))))))))))))))))</f>
        <v>#N/A</v>
      </c>
      <c r="AA49" s="854" t="e">
        <f t="shared" si="35"/>
        <v>#N/A</v>
      </c>
      <c r="AB49" s="683"/>
      <c r="AC49" s="775"/>
      <c r="AD49" s="775"/>
      <c r="AE49" s="778"/>
      <c r="AF49" s="787">
        <f t="shared" si="20"/>
        <v>0</v>
      </c>
      <c r="AG49" s="781" t="e">
        <f>HLOOKUP(E49,'2. AWARDS'!$F$7:$J$40,32,FALSE)/5*HLOOKUP(E49,'2. AWARDS'!$F$7:$J$40,31,FALSE)*MAX(W49:AA49)*M49*HLOOKUP(E49,'2. AWARDS'!$F$7:$J$40,34,FALSE)*(L49/(38*2))</f>
        <v>#N/A</v>
      </c>
      <c r="AH49" s="784" t="e">
        <f>((HLOOKUP(E49,'2. AWARDS'!$F$7:$J$42,36,FALSE)/HLOOKUP(E49,'2. AWARDS'!$F$7:$J$42,35,FALSE)*HLOOKUP(E49,'2. AWARDS'!$F$7:$J$45,39,FALSE))/(HLOOKUP(E49,'2. AWARDS'!$F$7:$J$45,31,FALSE)*2)*L49*M49*HLOOKUP(E49,'2. AWARDS'!$F$7:$J$45,31,FALSE)*MAX(W49:AA49))</f>
        <v>#N/A</v>
      </c>
      <c r="AI49" s="474"/>
      <c r="AJ49" s="806"/>
      <c r="AK49" s="807"/>
      <c r="AL49" s="807"/>
      <c r="AM49" s="808"/>
      <c r="AN49" s="1013"/>
      <c r="AO49" s="840">
        <f>IF(AJ49="YES",HLOOKUP(E49,'2. AWARDS'!$F$7:$J$38,32,FALSE)/5*HLOOKUP(E49,'2. AWARDS'!$F$7:$J$37,31,FALSE)*L49/(HLOOKUP(E49,'2. AWARDS'!$F$7:$J$37,31,FALSE)*2)*M49*MAX(W49:AA49)*(1+HLOOKUP(E49,'2. AWARDS'!$F$7:$J$43,37,FALSE))*(1-AM49),0)</f>
        <v>0</v>
      </c>
      <c r="AP49" s="841">
        <f>IF(AK49="YES",HLOOKUP(E49,'2. AWARDS'!$F$7:$J$39,33,FALSE)/5*HLOOKUP(E49,'2. AWARDS'!$F$7:$J$37,31,FALSE)*L49/(HLOOKUP(E49,'2. AWARDS'!$F$7:$J$37,31,FALSE)*2)*M49*MAX(W49:AA49)*(1+HLOOKUP(E49,'2. AWARDS'!$F$7:$J$43,37,FALSE))*(1-AM49),0)</f>
        <v>0</v>
      </c>
      <c r="AQ49" s="842">
        <f>IF(AL49="YES",HLOOKUP(E49,'2. AWARDS'!$F$7:$J$47,40,FALSE)/5*HLOOKUP(E49,'2. AWARDS'!$F$7:$J$37,31,FALSE)*L49/(HLOOKUP(E49,'2. AWARDS'!$F$7:$J$37,31,FALSE)*2)*M49*MAX(W49:AA49)*(1+HLOOKUP(E49,'2. AWARDS'!$F$7:$J$43,37,FALSE))*(1-AM49),0)</f>
        <v>0</v>
      </c>
      <c r="AR49" s="839">
        <f>(IF(AJ49="YES",HLOOKUP(E49,'2. AWARDS'!$F$7:$J$39,32,FALSE),0)+IF(AK49="YES",HLOOKUP(E49,'2. AWARDS'!$F$7:$J$39,33,FALSE),0)+IF(AL49="YES",HLOOKUP(E49,'2. AWARDS'!$F$7:$J$47,40,FALSE),0))*L49/76*7.6*AM49*AN49*M49</f>
        <v>0</v>
      </c>
      <c r="AS49" s="683"/>
      <c r="AT49" s="1144">
        <f>'1. KEY DATA'!J$29</f>
        <v>0</v>
      </c>
      <c r="AU49" s="1145">
        <f>'1. KEY DATA'!J$30</f>
        <v>0.09</v>
      </c>
      <c r="AV49" s="502"/>
      <c r="AW49" s="479">
        <f t="shared" si="21"/>
        <v>0</v>
      </c>
      <c r="AX49" s="502"/>
      <c r="AY49" s="1000"/>
      <c r="AZ49" s="1001"/>
      <c r="BA49" s="1001"/>
      <c r="BB49" s="1001"/>
      <c r="BC49" s="1001"/>
      <c r="BD49" s="1001"/>
      <c r="BE49" s="1001"/>
      <c r="BF49" s="1001"/>
      <c r="BG49" s="1001"/>
      <c r="BH49" s="1001"/>
      <c r="BI49" s="1395"/>
      <c r="BJ49" s="1396"/>
      <c r="BK49" s="1396"/>
      <c r="BL49" s="1397"/>
      <c r="BM49" s="302">
        <f t="shared" si="22"/>
        <v>1</v>
      </c>
      <c r="BO49" s="247">
        <f t="shared" si="23"/>
        <v>0</v>
      </c>
      <c r="BP49" s="248">
        <f t="shared" si="24"/>
        <v>0</v>
      </c>
      <c r="BQ49" s="248">
        <f t="shared" si="25"/>
        <v>0</v>
      </c>
      <c r="BR49" s="248">
        <f t="shared" si="26"/>
        <v>0</v>
      </c>
      <c r="BS49" s="248">
        <f t="shared" si="27"/>
        <v>0</v>
      </c>
      <c r="BT49" s="248">
        <f t="shared" si="28"/>
        <v>0</v>
      </c>
      <c r="BU49" s="248">
        <f t="shared" si="29"/>
        <v>0</v>
      </c>
      <c r="BV49" s="248">
        <f t="shared" si="30"/>
        <v>0</v>
      </c>
      <c r="BW49" s="248">
        <f t="shared" si="31"/>
        <v>0</v>
      </c>
      <c r="BX49" s="249">
        <f t="shared" si="32"/>
        <v>0</v>
      </c>
      <c r="BY49" s="1380"/>
      <c r="BZ49" s="1381"/>
      <c r="CA49" s="1381"/>
      <c r="CB49" s="1382"/>
    </row>
    <row r="50" spans="1:80" ht="15.75" thickBot="1">
      <c r="B50" s="220"/>
      <c r="C50" s="221"/>
      <c r="D50" s="631"/>
      <c r="E50" s="620"/>
      <c r="F50" s="620">
        <v>6.1</v>
      </c>
      <c r="G50" s="620"/>
      <c r="H50" s="620"/>
      <c r="I50" s="651"/>
      <c r="J50" s="651"/>
      <c r="K50" s="651"/>
      <c r="L50" s="1002"/>
      <c r="M50" s="1005"/>
      <c r="N50" s="631"/>
      <c r="O50" s="631"/>
      <c r="P50" s="620"/>
      <c r="Q50" s="620"/>
      <c r="R50" s="620">
        <f t="shared" si="17"/>
        <v>0.4</v>
      </c>
      <c r="S50" s="620"/>
      <c r="T50" s="221"/>
      <c r="U50" s="830"/>
      <c r="V50" s="622"/>
      <c r="W50" s="221"/>
      <c r="X50" s="227"/>
      <c r="Y50" s="620"/>
      <c r="Z50" s="227"/>
      <c r="AA50" s="227"/>
      <c r="AB50" s="227"/>
      <c r="AC50" s="220"/>
      <c r="AD50" s="220"/>
      <c r="AE50" s="220"/>
      <c r="AF50" s="220"/>
      <c r="AG50" s="473"/>
      <c r="AH50" s="220"/>
      <c r="AI50" s="227"/>
      <c r="AJ50" s="623"/>
      <c r="AK50" s="623"/>
      <c r="AL50" s="623"/>
      <c r="AM50" s="1008"/>
      <c r="AN50" s="1014"/>
      <c r="AO50" s="220"/>
      <c r="AP50" s="220"/>
      <c r="AQ50" s="220"/>
      <c r="AR50" s="220"/>
      <c r="AS50" s="227"/>
      <c r="AT50" s="222"/>
      <c r="AU50" s="222"/>
      <c r="AV50" s="157"/>
      <c r="AW50" s="222"/>
      <c r="AX50" s="157"/>
      <c r="AY50" s="223"/>
      <c r="AZ50" s="223"/>
      <c r="BA50" s="223"/>
      <c r="BB50" s="223"/>
      <c r="BC50" s="223"/>
      <c r="BD50" s="223"/>
      <c r="BE50" s="223"/>
      <c r="BF50" s="223"/>
      <c r="BG50" s="223"/>
      <c r="BH50" s="223"/>
      <c r="BI50" s="222"/>
      <c r="BJ50" s="220"/>
      <c r="BK50" s="220"/>
      <c r="BL50" s="220"/>
      <c r="BM50" s="85"/>
      <c r="BN50" s="26" t="s">
        <v>94</v>
      </c>
      <c r="BO50" s="250">
        <f t="shared" ref="BO50:BX50" si="56">SUM(BO15:BO49)</f>
        <v>0</v>
      </c>
      <c r="BP50" s="251">
        <f t="shared" si="56"/>
        <v>0</v>
      </c>
      <c r="BQ50" s="251">
        <f t="shared" si="56"/>
        <v>0</v>
      </c>
      <c r="BR50" s="251">
        <f t="shared" si="56"/>
        <v>0</v>
      </c>
      <c r="BS50" s="251">
        <f t="shared" si="56"/>
        <v>0</v>
      </c>
      <c r="BT50" s="251">
        <f t="shared" si="56"/>
        <v>0</v>
      </c>
      <c r="BU50" s="251">
        <f t="shared" si="56"/>
        <v>0</v>
      </c>
      <c r="BV50" s="251">
        <f t="shared" si="56"/>
        <v>0</v>
      </c>
      <c r="BW50" s="251">
        <f t="shared" si="56"/>
        <v>0</v>
      </c>
      <c r="BX50" s="252">
        <f t="shared" si="56"/>
        <v>0</v>
      </c>
      <c r="BY50" s="1383"/>
      <c r="BZ50" s="1384"/>
      <c r="CA50" s="1384"/>
      <c r="CB50" s="1385"/>
    </row>
    <row r="51" spans="1:80" ht="16.5" thickTop="1" thickBot="1">
      <c r="B51" s="224" t="s">
        <v>149</v>
      </c>
      <c r="C51" s="225"/>
      <c r="D51" s="632"/>
      <c r="E51" s="621"/>
      <c r="F51" s="621">
        <v>6.2</v>
      </c>
      <c r="G51" s="621"/>
      <c r="H51" s="621"/>
      <c r="I51" s="665"/>
      <c r="J51" s="665"/>
      <c r="K51" s="665"/>
      <c r="L51" s="1003"/>
      <c r="M51" s="1006"/>
      <c r="N51" s="632"/>
      <c r="O51" s="632"/>
      <c r="P51" s="621"/>
      <c r="Q51" s="621"/>
      <c r="R51" s="621">
        <f t="shared" si="17"/>
        <v>0.4</v>
      </c>
      <c r="S51" s="621"/>
      <c r="T51" s="220"/>
      <c r="U51" s="831"/>
      <c r="V51" s="623"/>
      <c r="W51" s="220"/>
      <c r="X51" s="616"/>
      <c r="Y51" s="621"/>
      <c r="Z51" s="616"/>
      <c r="AA51" s="616"/>
      <c r="AB51" s="227"/>
      <c r="AC51" s="220"/>
      <c r="AD51" s="220"/>
      <c r="AE51" s="220"/>
      <c r="AF51" s="220"/>
      <c r="AG51" s="474"/>
      <c r="AH51" s="226"/>
      <c r="AI51" s="227"/>
      <c r="AJ51" s="686"/>
      <c r="AK51" s="686"/>
      <c r="AL51" s="686"/>
      <c r="AM51" s="1009"/>
      <c r="AN51" s="1014"/>
      <c r="AO51" s="226"/>
      <c r="AP51" s="226"/>
      <c r="AQ51" s="226"/>
      <c r="AR51" s="226"/>
      <c r="AS51" s="227"/>
      <c r="AT51" s="222"/>
      <c r="AU51" s="222"/>
      <c r="AV51" s="157"/>
      <c r="AW51" s="222"/>
      <c r="AX51" s="157"/>
      <c r="AY51" s="222"/>
      <c r="AZ51" s="222"/>
      <c r="BA51" s="222"/>
      <c r="BB51" s="222"/>
      <c r="BC51" s="222"/>
      <c r="BD51" s="222"/>
      <c r="BE51" s="222"/>
      <c r="BF51" s="227"/>
      <c r="BG51" s="227"/>
      <c r="BH51" s="227"/>
      <c r="BI51" s="227"/>
      <c r="BJ51" s="182"/>
      <c r="BK51" s="182"/>
      <c r="BL51" s="182"/>
      <c r="BM51" s="299"/>
      <c r="BN51" s="27"/>
      <c r="BO51" s="182"/>
      <c r="BP51" s="182"/>
      <c r="BQ51" s="182"/>
      <c r="BR51" s="182"/>
      <c r="BS51" s="182"/>
      <c r="BT51" s="182"/>
      <c r="BU51" s="182"/>
      <c r="BV51" s="220"/>
      <c r="BW51" s="220"/>
      <c r="BX51" s="220"/>
      <c r="BY51" s="220"/>
      <c r="BZ51" s="221"/>
      <c r="CA51" s="221"/>
      <c r="CB51" s="220"/>
    </row>
    <row r="52" spans="1:80" ht="6" customHeight="1" thickBot="1">
      <c r="B52" s="220"/>
      <c r="C52" s="221"/>
      <c r="D52" s="633"/>
      <c r="E52" s="620"/>
      <c r="F52" s="620">
        <v>6.3</v>
      </c>
      <c r="G52" s="624"/>
      <c r="H52" s="624"/>
      <c r="I52" s="666"/>
      <c r="J52" s="666"/>
      <c r="K52" s="666"/>
      <c r="L52" s="1004"/>
      <c r="M52" s="1007"/>
      <c r="N52" s="633"/>
      <c r="O52" s="633"/>
      <c r="P52" s="624"/>
      <c r="Q52" s="624"/>
      <c r="R52" s="624">
        <f t="shared" si="17"/>
        <v>0.4</v>
      </c>
      <c r="S52" s="620"/>
      <c r="T52" s="228"/>
      <c r="U52" s="832"/>
      <c r="V52" s="672"/>
      <c r="W52" s="228"/>
      <c r="X52" s="229"/>
      <c r="Y52" s="624"/>
      <c r="Z52" s="229"/>
      <c r="AA52" s="229"/>
      <c r="AB52" s="227"/>
      <c r="AC52" s="228"/>
      <c r="AD52" s="228"/>
      <c r="AE52" s="228"/>
      <c r="AF52" s="228"/>
      <c r="AG52" s="475"/>
      <c r="AH52" s="228"/>
      <c r="AI52" s="227"/>
      <c r="AJ52" s="672"/>
      <c r="AK52" s="672"/>
      <c r="AL52" s="672"/>
      <c r="AM52" s="1010"/>
      <c r="AN52" s="1015"/>
      <c r="AO52" s="228"/>
      <c r="AP52" s="228"/>
      <c r="AQ52" s="228"/>
      <c r="AR52" s="228"/>
      <c r="AS52" s="227"/>
      <c r="AT52" s="142"/>
      <c r="AU52" s="142"/>
      <c r="AV52" s="157"/>
      <c r="AW52" s="142"/>
      <c r="AX52" s="157"/>
      <c r="AY52" s="142"/>
      <c r="AZ52" s="142"/>
      <c r="BA52" s="142"/>
      <c r="BB52" s="142"/>
      <c r="BC52" s="142"/>
      <c r="BD52" s="142"/>
      <c r="BE52" s="142"/>
      <c r="BF52" s="229"/>
      <c r="BG52" s="229"/>
      <c r="BH52" s="229"/>
      <c r="BI52" s="229"/>
      <c r="BJ52" s="141"/>
      <c r="BK52" s="141"/>
      <c r="BL52" s="141"/>
      <c r="BM52" s="299"/>
      <c r="BN52" s="27"/>
      <c r="BO52" s="182"/>
      <c r="BP52" s="182"/>
      <c r="BQ52" s="182"/>
      <c r="BR52" s="182"/>
      <c r="BS52" s="182"/>
      <c r="BT52" s="182"/>
      <c r="BU52" s="182"/>
      <c r="BV52" s="220"/>
      <c r="BW52" s="220"/>
      <c r="BX52" s="220"/>
      <c r="BY52" s="220"/>
      <c r="BZ52" s="221"/>
      <c r="CA52" s="221"/>
      <c r="CB52" s="220"/>
    </row>
    <row r="53" spans="1:80">
      <c r="B53" s="212"/>
      <c r="C53" s="214"/>
      <c r="D53" s="698">
        <f>'1. KEY DATA'!E6</f>
        <v>0</v>
      </c>
      <c r="E53" s="697"/>
      <c r="F53" s="902"/>
      <c r="G53" s="625"/>
      <c r="H53" s="765"/>
      <c r="I53" s="1117"/>
      <c r="J53" s="1121"/>
      <c r="K53" s="1122"/>
      <c r="L53" s="1120"/>
      <c r="M53" s="688"/>
      <c r="N53" s="634"/>
      <c r="O53" s="634"/>
      <c r="P53" s="810">
        <f>'1. KEY DATA'!B25</f>
        <v>0.03</v>
      </c>
      <c r="Q53" s="634"/>
      <c r="R53" s="811" t="str">
        <f t="shared" ref="R53:R66" si="57">IF(AND(F53&gt;0.9,F53&lt;3),0.23,IF(AND(F53&gt;2.9,F53&lt;4),0.26,IF(AND(F53&gt;3.9,F53&lt;5),0.32,IF(AND(F53&gt;4.9,F53&lt;6),0.37,IF(AND(F53&gt;5.9,F53&lt;7),0.4,IF(AND(F53&gt;6.9,F53&lt;8),0.42,IF(F53&gt;7.9,0.45,"-")))))))</f>
        <v>-</v>
      </c>
      <c r="S53" s="649"/>
      <c r="T53" s="767"/>
      <c r="U53" s="833"/>
      <c r="V53" s="771"/>
      <c r="W53" s="656">
        <f t="shared" ref="W53:W66" si="58">T53*(1+U53)</f>
        <v>0</v>
      </c>
      <c r="X53" s="814">
        <f>IF(OR(E53=0,F53=0),0,IF(E53='2. AWARDS'!F$7,VLOOKUP(F53,'2. AWARDS'!$C$9:$F$35,4,FALSE),IF(E53='2. AWARDS'!G$7,VLOOKUP(F53,'2. AWARDS'!$C$9:$G$35,5,FALSE),IF(E53='2. AWARDS'!H$7,VLOOKUP(F53,'2. AWARDS'!$C$9:$H$35,6,FALSE),IF(E53='2. AWARDS'!I$7,VLOOKUP(F53,'2. AWARDS'!$C$9:$I$35,7,FALSE),VLOOKUP(F53,'2. AWARDS'!$C$9:$J$35,8,FALSE))))))</f>
        <v>0</v>
      </c>
      <c r="Y53" s="815">
        <f>IF(OR(E53=0,F53=0),0,IF(AND(N53=0,E53='2. AWARDS'!F$7,VLOOKUP(F53,'2. AWARDS'!$C$9:$O$35,9,FALSE)&lt;&gt;0),"date missing",IF(AND(N53=0,E53='2. AWARDS'!G$7,VLOOKUP(F53,'2. AWARDS'!$C$9:$O$35,10,FALSE)&lt;&gt;0),"date missing",IF(AND(N53=0,E53='2. AWARDS'!H$7,VLOOKUP(F53,'2. AWARDS'!$C$9:$O$35,11,FALSE)&lt;&gt;0),"date missing",IF(AND(N53=0,E53='2. AWARDS'!I$7,VLOOKUP(F53,'2. AWARDS'!$C$9:$O$35,12,FALSE)&lt;&gt;0),"date missing",IF(AND(N53=0,E53='2. AWARDS'!J$7,VLOOKUP(F53,'2. AWARDS'!$C$9:$O$35,13,FALSE)&lt;&gt;0),"date missing",IF(N53=0,0,IF(OR(N53=MIN(O53,Q53),AND(N53&lt;O53,N53&lt;Q53,N53&gt;0)),IF(E53='2. AWARDS'!F$7,VLOOKUP(F53,'2. AWARDS'!$C$9:$O$35,9,FALSE),IF(E53='2. AWARDS'!G$7,VLOOKUP(F53,'2. AWARDS'!$C$9:$O$35,10,FALSE),IF(E53='2. AWARDS'!H$7,VLOOKUP(F53,'2. AWARDS'!$C$9:$O$35,11,FALSE),IF(E53='2. AWARDS'!I$7,VLOOKUP(F53,'2. AWARDS'!$C$9:$O$35,12,FALSE),IF(E53='2. AWARDS'!J$7,VLOOKUP(F53,'2. AWARDS'!$C$9:$O$35,13,FALSE)))))),IF(AND(N53&gt;O53,N53&lt;Q53),IF(E53='2. AWARDS'!F$7,(1+P53)*VLOOKUP(F53,'2. AWARDS'!$C$9:$O$35,9,FALSE),IF(E53='2. AWARDS'!G$7,(1+P53)*VLOOKUP(F53,'2. AWARDS'!$C$9:$O$35,10,FALSE),IF(E53='2. AWARDS'!H$7,(1+P53)*VLOOKUP(F53,'2. AWARDS'!$C$9:$O$35,11,FALSE),IF(E53='2. AWARDS'!I$7,(1+P53)*VLOOKUP(F53,'2. AWARDS'!$C$9:$O$35,12,FALSE),IF(E53='2. AWARDS'!J$7,(1+P53)*VLOOKUP(F53,'2. AWARDS'!$C$9:$O$35,13,FALSE)))))),IF(AND(N53&lt;O53,N53&gt;Q53),IF(E53='2. AWARDS'!F$7,(1+(R53/9))*VLOOKUP(F53,'2. AWARDS'!$C$9:$O$35,9,FALSE),IF(E53='2. AWARDS'!G$7,(1+(R53/9))*VLOOKUP(F53,'2. AWARDS'!$C$9:$O$35,10,FALSE),IF(E53='2. AWARDS'!H$7,(1+(R53/9))*VLOOKUP(F53,'2. AWARDS'!$C$9:$O$35,11,FALSE),IF(E53='2. AWARDS'!I$7,(1+(R53/9))*VLOOKUP(F53,'2. AWARDS'!$C$9:$O$35,12,FALSE),IF(E53='2. AWARDS'!J$7,(1+(R53/9))*VLOOKUP(F53,'2. AWARDS'!$C$9:$O$35,13,FALSE)))))),IF(OR(N53=MAX(O53,Q53),AND(N53&gt;O53,N53&gt;Q53)),IF(E53='2. AWARDS'!F$7,((1+(R53/9))*(1+P53))*VLOOKUP(F53,'2. AWARDS'!$C$9:$O$35,9,FALSE),IF(E53='2. AWARDS'!G$7,((1+(R53/9))*(1+P53))*VLOOKUP(F53,'2. AWARDS'!$C$9:$O$35,10,FALSE),IF(E53='2. AWARDS'!H$7,((1+(R53/9))*(1+P53))*VLOOKUP(F53,'2. AWARDS'!$C$9:$O$35,11,FALSE),IF(E53='2. AWARDS'!I$7,((1+(R53/9))*(1+P53))*VLOOKUP(F53,'2. AWARDS'!$C$9:$O$35,12,FALSE),IF(E53='2. AWARDS'!J$7,((1+(R53/9))*(1+P53))*VLOOKUP(F53,'2. AWARDS'!$C$9:$O$35,13,FALSE)))))),"?")))))))))))</f>
        <v>0</v>
      </c>
      <c r="Z53" s="814" t="e">
        <f>IF(AND(E53='2. AWARDS'!F39,O53&gt;N53,O53&gt;Q53,VLOOKUP(F53,'2. AWARDS'!$C$9:$O$35,9,FALSE)&lt;&gt;0),VLOOKUP(F53,'2. AWARDS'!$C$9:$O$35,9,FALSE)*(1+P53)*(1+(R53/9)),IF(AND(E53='2. AWARDS'!F39,O53&gt;N53,O53&gt;Q53,VLOOKUP(F53,'2. AWARDS'!$C$9:$O$35,9,FALSE)=0),X53*(1+P53)*(1+(R53/9)),IF(AND(E53='2. AWARDS'!G39,O53&gt;N53,O53&gt;Q53,VLOOKUP(F53,'2. AWARDS'!$C$9:$O$35,10,FALSE)&lt;&gt;0),VLOOKUP(F53,'2. AWARDS'!$C$9:$O$35,10,FALSE)*(1+P53)*(1+(R53/9)),IF(AND(E53='2. AWARDS'!G39,O53&gt;N53,O53&gt;Q53,VLOOKUP(F53,'2. AWARDS'!$C$9:$O$35,10,FALSE)=0),X53*(1+P53)*(1+(R53/9)),IF(AND(E53='2. AWARDS'!H39,O53&gt;N53,O53&gt;Q53,VLOOKUP(F53,'2. AWARDS'!$C$9:$O$35,11,FALSE)&lt;&gt;0),VLOOKUP(F53,'2. AWARDS'!$C$9:$O$35,11,FALSE)*(1+P53)*(1+(R53/9)),IF(AND(E53='2. AWARDS'!H39,O53&gt;N53,O53&gt;Q53,VLOOKUP(F53,'2. AWARDS'!$C$9:$O$35,11,FALSE)=0),X53*(1+P53)*(1+(R53/9)),IF(AND(E53='2. AWARDS'!I39,O53&gt;N53,O53&gt;Q53,VLOOKUP(F53,'2. AWARDS'!$C$9:$O$35,12,FALSE)&lt;&gt;0),VLOOKUP(F53,'2. AWARDS'!$C$9:$O$35,12,FALSE)*(1+P53)*(1+(R53/9)),IF(AND(E53='2. AWARDS'!I39,O53&gt;N53,O53&gt;Q53,VLOOKUP(F53,'2. AWARDS'!$C$9:$O$35,12,FALSE)=0),X53*(1+P53)*(1+(R53/9)),IF(AND(E53='2. AWARDS'!J39,O53&gt;N53,O53&gt;Q53,VLOOKUP(F53,'2. AWARDS'!$C$9:$O$35,13,FALSE)&lt;&gt;0),VLOOKUP(F53,'2. AWARDS'!$C$9:$O$35,13,FALSE)*(1+P53)*(1+(R53/9)),IF(AND(E53='2. AWARDS'!J39,O53&gt;N53,O53&gt;Q53,VLOOKUP(F53,'2. AWARDS'!$C$9:$O$35,13,FALSE)=0),X53*(1+P53)*(1+(R53/9)),IF(AND(O53&lt;N53,O53&gt;Q53),X53*(1+P53)*(1+(R53/9)),IF(AND(E53='2. AWARDS'!F39,O53=MAX(N53,Q53),VLOOKUP(F53,'2. AWARDS'!$C$9:$O$35,9,FALSE)&lt;&gt;0),VLOOKUP(F53,'2. AWARDS'!$C$9:$O$35,9,FALSE)*(1+P53)*(1+(R53/9)),IF(AND(E53='2. AWARDS'!F39,O53=MAX(N53,Q53),VLOOKUP(F53,'2. AWARDS'!$C$9:$O$35,9,FALSE)=0),X53*(1+P53)*(1+(R53/9)),IF(AND(E53='2. AWARDS'!G39,O53=MAX(N53,Q53),VLOOKUP(F53,'2. AWARDS'!$C$9:$O$35,10,FALSE)&lt;&gt;0),VLOOKUP(F53,'2. AWARDS'!$C$9:$O$35,10,FALSE)*(1+P53)*(1+(R53/9)),IF(AND(E53='2. AWARDS'!G39,O53=MAX(N53,Q53),VLOOKUP(F53,'2. AWARDS'!$C$9:$O$35,10,FALSE)=0),X53*(1+P53)*(1+(R53/9)),IF(AND(E53='2. AWARDS'!H39,O53=MAX(N53,Q53),VLOOKUP(F53,'2. AWARDS'!$C$9:$O$35,11,FALSE)&lt;&gt;0),VLOOKUP(F53,'2. AWARDS'!$C$9:$O$35,11,FALSE)*(1+P53)*(1+(R53/9)),IF(AND(E53='2. AWARDS'!H39,O53=MAX(N53,Q53),VLOOKUP(F53,'2. AWARDS'!$C$9:$O$35,11,FALSE)=0),X53*(1+P53)*(1+(R53/9)),IF(AND(E53='2. AWARDS'!I39,O53=MAX(N53,Q53),VLOOKUP(F53,'2. AWARDS'!$C$9:$O$35,12,FALSE)&lt;&gt;0),VLOOKUP(F53,'2. AWARDS'!$C$9:$O$35,12,FALSE)*(1+P53)*(1+(R53/9)),IF(AND(E53='2. AWARDS'!I39,O53=MAX(N53,Q53),VLOOKUP(F53,'2. AWARDS'!$C$9:$O$35,12,FALSE)=0),X53*(1+P53)*(1+(R53/9)),IF(AND(E53='2. AWARDS'!J39,O53=MAX(N53,Q53),VLOOKUP(F53,'2. AWARDS'!$C$9:$O$35,13,FALSE)&lt;&gt;0),VLOOKUP(F53,'2. AWARDS'!$C$9:$O$35,13,FALSE)*(1+P53)*(1+(R53/9)),IF(AND(E53='2. AWARDS'!J39,O53=MAX(N53,Q53),VLOOKUP(F53,'2. AWARDS'!$C$9:$O$35,13,FALSE)=0),X53*(1+P53)*(1+(R53/9)),IF(AND(O53&lt;N53,O53&lt;Q53),X53*(1+P53),IF(AND(O53=N53,N53&lt;Q53,E53='2. AWARDS'!F39),VLOOKUP(F53,'2. AWARDS'!$C$9:$O$35,9,FALSE)*(1+P53),IF(AND(O53=N53,N53&lt;Q53,E53='2. AWARDS'!G39),VLOOKUP(F53,'2. AWARDS'!$C$9:$O$35,10,FALSE)*(1+P53),IF(AND(O53=N53,N53&lt;Q53,E53='2. AWARDS'!H39),VLOOKUP(F53,'2. AWARDS'!$C$9:$O$35,11,FALSE)*(1+P53),IF(AND(O53=N53,N53&lt;Q53,E53='2. AWARDS'!I39),VLOOKUP(F53,'2. AWARDS'!$C$9:$O$35,12,FALSE)*(1+P53),IF(AND(O53=N53,N53&lt;Q53,E53='2. AWARDS'!J39),VLOOKUP(F53,'2. AWARDS'!$C$9:$O$35,13,FALSE)*(1+P53),IF(AND(O53=Q53,N53&gt;Q53),X53*(1+P53)*(1+(R53/9)),IF(AND(E53='2. AWARDS'!F39,O53&gt;N53,O53&lt;Q53,VLOOKUP(F53,'2. AWARDS'!$C$9:$O$35,9,FALSE)&lt;&gt;0),VLOOKUP(F53,'2. AWARDS'!$C$9:$O$35,9,FALSE)*(1+P53),IF(AND(E53='2. AWARDS'!G39,O53&gt;N53,O53&lt;Q53,VLOOKUP(F53,'2. AWARDS'!$C$9:$O$35,10,FALSE)&lt;&gt;0),VLOOKUP(F53,'2. AWARDS'!$C$9:$O$35,10,FALSE)*(1+P53),IF(AND(E53='2. AWARDS'!H39,O53&gt;N53,O53&lt;Q53,VLOOKUP(F53,'2. AWARDS'!$C$9:$O$35,11,FALSE)&lt;&gt;0),VLOOKUP(F53,'2. AWARDS'!$C$9:$O$35,11,FALSE)*(1+P53),IF(AND(E53='2. AWARDS'!I39,O53&gt;N53,O53&lt;Q53,VLOOKUP(F53,'2. AWARDS'!$C$9:$O$35,12,FALSE)&lt;&gt;0),VLOOKUP(F53,'2. AWARDS'!$C$9:$O$35,12,FALSE)*(1+P53),IF(AND(E53='2. AWARDS'!J39,O53&gt;N53,O53&lt;Q53,VLOOKUP(F53,'2. AWARDS'!$C$9:$O$35,13,FALSE)&lt;&gt;0),VLOOKUP(F53,'2. AWARDS'!$C$9:$O$35,13,FALSE)*(1+P53),X53*(1+P53))))))))))))))))))))))))))))))))))</f>
        <v>#N/A</v>
      </c>
      <c r="AA53" s="816" t="e">
        <f>IF(OR(Q53=MAX(N53,O53),AND(Q53&gt;O53,Q53&gt;N53)),(MAX(Y53,Z53)*(R53/9))+MAX(Y53:Z53),IF(OR(Q53=MIN(N53,O53),AND(Q53&lt;N53,Q53&lt;O53)),X53*(1+(R53/9)),IF(AND(Q53&lt;O53,Q53&gt;N53,Y53&gt;0),Y53*(1+(R53/9)),IF(AND(Q53&lt;O53,Q53&gt;N53,Y53=0),X53*(1+(R53/9)),X53*(1+P53)*(1+(R53/9))))))</f>
        <v>#N/A</v>
      </c>
      <c r="AB53" s="684"/>
      <c r="AC53" s="776"/>
      <c r="AD53" s="776"/>
      <c r="AE53" s="779"/>
      <c r="AF53" s="1127">
        <f t="shared" ref="AF53:AF66" si="59">IF(J53="YES",L53*M53*K53*MAX(W53:AA53),0)</f>
        <v>0</v>
      </c>
      <c r="AG53" s="781" t="e">
        <f>HLOOKUP(E53,'2. AWARDS'!$F$7:$J$40,32,FALSE)/5*HLOOKUP(E53,'2. AWARDS'!$F$7:$J$40,31,FALSE)*MAX(W53:AA53)*M53*HLOOKUP(E53,'2. AWARDS'!$F$7:$J$40,34,FALSE)*(L53/(38*2))</f>
        <v>#N/A</v>
      </c>
      <c r="AH53" s="785" t="e">
        <f>((HLOOKUP(E53,'2. AWARDS'!$F$7:$J$42,36,FALSE)/HLOOKUP(E53,'2. AWARDS'!$F$7:$J$42,35,FALSE)*HLOOKUP(E53,'2. AWARDS'!$F$7:$J$45,39,FALSE))/(HLOOKUP(E53,'2. AWARDS'!$F$7:$J$45,31,FALSE)*2)*L53*M53*HLOOKUP(E53,'2. AWARDS'!$F$7:$J$45,31,FALSE)*MAX(W53:AA53))</f>
        <v>#N/A</v>
      </c>
      <c r="AI53" s="682"/>
      <c r="AJ53" s="804"/>
      <c r="AK53" s="821"/>
      <c r="AL53" s="821"/>
      <c r="AM53" s="822"/>
      <c r="AN53" s="1011"/>
      <c r="AO53" s="838">
        <f>IF(AJ53="YES",HLOOKUP(E53,'2. AWARDS'!$F$7:$J$38,32,FALSE)/5*HLOOKUP(E53,'2. AWARDS'!$F$7:$J$37,31,FALSE)*L53/(HLOOKUP(E53,'2. AWARDS'!$F$7:$J$37,31,FALSE)*2)*M53*MAX(W53:AA53)*(1+HLOOKUP(E53,'2. AWARDS'!$F$7:$J$43,37,FALSE))*(1-AM53),0)</f>
        <v>0</v>
      </c>
      <c r="AP53" s="843">
        <f>IF(AK53="YES",HLOOKUP(E53,'2. AWARDS'!$F$7:$J$39,33,FALSE)/5*HLOOKUP(E53,'2. AWARDS'!$F$7:$J$37,31,FALSE)*L53/(HLOOKUP(E53,'2. AWARDS'!$F$7:$J$37,31,FALSE)*2)*M53*MAX(W53:AA53)*(1+HLOOKUP(E53,'2. AWARDS'!$F$7:$J$43,37,FALSE))*(1-AM53),0)</f>
        <v>0</v>
      </c>
      <c r="AQ53" s="838">
        <f>IF(AL53="YES",HLOOKUP(E53,'2. AWARDS'!$F$7:$J$47,40,FALSE)/5*HLOOKUP(E53,'2. AWARDS'!$F$7:$J$37,31,FALSE)*L53/(HLOOKUP(E53,'2. AWARDS'!$F$7:$J$37,31,FALSE)*2)*M53*MAX(W53:AA53)*(1+HLOOKUP(E53,'2. AWARDS'!$F$7:$J$43,37,FALSE))*(1-AM53),0)</f>
        <v>0</v>
      </c>
      <c r="AR53" s="783" t="e">
        <f>(IF(AJ53="YES",HLOOKUP(E53,'2. AWARDS'!$F$7:$J$39,32,FALSE),0)+IF(AK53="YES",HLOOKUP(E53,'2. AWARDS'!$F$7:$J$39,33,FALSE),0)+IF(AL53="YES",HLOOKUP(E53,'2. AWARDS'!$F$7:$J$47,40,FALSE),0))/5*(HLOOKUP(E53,'2. AWARDS'!$F$7:$J$39,31,FALSE)*2)*AM53*AN53</f>
        <v>#N/A</v>
      </c>
      <c r="AS53" s="684"/>
      <c r="AT53" s="802">
        <v>0.04</v>
      </c>
      <c r="AU53" s="822">
        <f>'1. KEY DATA'!J$30</f>
        <v>0.09</v>
      </c>
      <c r="AV53" s="502"/>
      <c r="AW53" s="478">
        <f t="shared" ref="AW53:AW66" si="60">IF(OR(E53=0,F53=0),0,IF(OR(O53=0,Q53=0),"date missing",IF(W53&gt;MAX(X53:AA53),((((T53*(V53-D53+1))+( W53*(D53+365-V53-1)))/365*(1+H53+I53)*L53*M53*26.071428)+SUM(AC53:AH53)+SUM(AO53:AQ53))*(1+AT53+AU53)+AR53,IF(OR(N53=0,Y53=0),((((((X53*(O53+Q53-MAX(O53,Q53)-D53+1))+(MIN(Z53,AA53)*(MAX(O53,Q53)-MIN(O53,Q53)))+(MAX(Z53,AA53)*(D53+365-1-MAX(O53,Q53)))))/365)*(1+H53+I53)*L53*M53*26.071428)+SUM(AC53:AH53)+SUM(AO53:AQ53))*(1+AT53+AU53)+AR53,IF(Y53&lt;AND(Z53,AA53),(((((X53*(N53-D53+1))+(Y53*(MIN(O53,Q53)-N53))+(MIN(Z53,AA53)*(MAX(O53,Q53)-MIN(O53,Q53)))+(MAX(Z53,AA53)*(D53+365-MAX(O53,Q53)-1)))/365)*(1+H53+I53)*L53*M53*26.071428)+SUM(AC53:AH53)+SUM(AO53:AQ53))*(1+AT53+AU53)+AR53,IF(Z53&lt;AND(Y53,AA53),((((X53*(O53-D53+1)+(Z53*(MIN(N53,Q53)-O53))+(MIN(Y53,AA53)*(MAX(N53,Q53)-MIN(N53,Q53)))+(MAX(Y53,AA53)*(D53+365-MAX(N53,Q53)-1)))/365)*(1+H53+I53)*L53*M53*26.071428)+SUM(AC53:AH53)+SUM(AO53:AQ53))*(1+AT53+AU53)+AR53,(((((X53*(Q53-D53+1)+(AA53*(MIN(N53,O53)-Q53))+(MIN(Y53,Z53)*(MAX(N53,O53)-MIN(N53,O53)))+(MAX(Y53,Z53)*(D53+365-MAX(N53,O53)-1)))/365)*(1+H53+I53)*L53*M53*26.071428)+SUM(AC53:AH53)+SUM(AO53:AQ53))*(1+AT53+AU53)+AR53)))))))</f>
        <v>0</v>
      </c>
      <c r="AX53" s="502"/>
      <c r="AY53" s="802"/>
      <c r="AZ53" s="822"/>
      <c r="BA53" s="822"/>
      <c r="BB53" s="822"/>
      <c r="BC53" s="822"/>
      <c r="BD53" s="822"/>
      <c r="BE53" s="822"/>
      <c r="BF53" s="822"/>
      <c r="BG53" s="822"/>
      <c r="BH53" s="1016"/>
      <c r="BI53" s="1017"/>
      <c r="BJ53" s="1017"/>
      <c r="BK53" s="1017"/>
      <c r="BL53" s="1017"/>
      <c r="BM53" s="300">
        <f t="shared" ref="BM53:BM66" si="61">1-SUM(AY53:BL53)</f>
        <v>1</v>
      </c>
      <c r="BO53" s="253">
        <f t="shared" ref="BO53:BX53" si="62">IF(OR($E53=0,$F53=0),0,IF($AW53&gt;0,IF($BM53=0,$AW53*AY53,"alloc error"),"-"))</f>
        <v>0</v>
      </c>
      <c r="BP53" s="386">
        <f t="shared" si="62"/>
        <v>0</v>
      </c>
      <c r="BQ53" s="386">
        <f t="shared" si="62"/>
        <v>0</v>
      </c>
      <c r="BR53" s="386">
        <f t="shared" si="62"/>
        <v>0</v>
      </c>
      <c r="BS53" s="386">
        <f t="shared" si="62"/>
        <v>0</v>
      </c>
      <c r="BT53" s="386">
        <f t="shared" si="62"/>
        <v>0</v>
      </c>
      <c r="BU53" s="386">
        <f t="shared" si="62"/>
        <v>0</v>
      </c>
      <c r="BV53" s="386">
        <f t="shared" si="62"/>
        <v>0</v>
      </c>
      <c r="BW53" s="386">
        <f t="shared" si="62"/>
        <v>0</v>
      </c>
      <c r="BX53" s="386">
        <f t="shared" si="62"/>
        <v>0</v>
      </c>
      <c r="BY53" s="387" t="str">
        <f>IF($AW53&gt;0,IF($BM53=0,$AW53*BI53,"alloc error"),"-")</f>
        <v>-</v>
      </c>
      <c r="BZ53" s="387" t="str">
        <f>IF($AW53&gt;0,IF($BM53=0,$AW53*BJ53,"alloc error"),"-")</f>
        <v>-</v>
      </c>
      <c r="CA53" s="387" t="str">
        <f>IF($AW53&gt;0,IF($BM53=0,$AW53*BK53,"alloc error"),"-")</f>
        <v>-</v>
      </c>
      <c r="CB53" s="388" t="str">
        <f>IF($AW53&gt;0,IF($BM53=0,$AW53*BL53,"alloc error"),"-")</f>
        <v>-</v>
      </c>
    </row>
    <row r="54" spans="1:80">
      <c r="B54" s="231"/>
      <c r="C54" s="214"/>
      <c r="D54" s="699">
        <f t="shared" ref="D54:D66" si="63">D53</f>
        <v>0</v>
      </c>
      <c r="E54" s="626"/>
      <c r="F54" s="903"/>
      <c r="G54" s="625"/>
      <c r="H54" s="765"/>
      <c r="I54" s="1118"/>
      <c r="J54" s="1123"/>
      <c r="K54" s="1124"/>
      <c r="L54" s="1109"/>
      <c r="M54" s="689"/>
      <c r="N54" s="634"/>
      <c r="O54" s="634"/>
      <c r="P54" s="638">
        <f>P53</f>
        <v>0.03</v>
      </c>
      <c r="Q54" s="634"/>
      <c r="R54" s="812" t="str">
        <f t="shared" si="57"/>
        <v>-</v>
      </c>
      <c r="S54" s="649"/>
      <c r="T54" s="768"/>
      <c r="U54" s="834"/>
      <c r="V54" s="772"/>
      <c r="W54" s="817">
        <f t="shared" si="58"/>
        <v>0</v>
      </c>
      <c r="X54" s="817">
        <f>IF(OR(E54=0,F54=0),0,IF(E54='2. AWARDS'!F$7,VLOOKUP(F54,'2. AWARDS'!$C$9:$F$35,4,FALSE),IF(E54='2. AWARDS'!G$7,VLOOKUP(F54,'2. AWARDS'!$C$9:$G$35,5,FALSE),IF(E54='2. AWARDS'!H$7,VLOOKUP(F54,'2. AWARDS'!$C$9:$H$35,6,FALSE),IF(E54='2. AWARDS'!I$7,VLOOKUP(F54,'2. AWARDS'!$C$9:$I$35,7,FALSE),VLOOKUP(F54,'2. AWARDS'!$C$9:$J$35,8,FALSE))))))</f>
        <v>0</v>
      </c>
      <c r="Y54" s="815">
        <f>IF(OR(E54=0,F54=0),0,IF(AND(N54=0,E54='2. AWARDS'!F$7,VLOOKUP(F54,'2. AWARDS'!$C$9:$O$35,9,FALSE)&lt;&gt;0),"date missing",IF(AND(N54=0,E54='2. AWARDS'!G$7,VLOOKUP(F54,'2. AWARDS'!$C$9:$O$35,10,FALSE)&lt;&gt;0),"date missing",IF(AND(N54=0,E54='2. AWARDS'!H$7,VLOOKUP(F54,'2. AWARDS'!$C$9:$O$35,11,FALSE)&lt;&gt;0),"date missing",IF(AND(N54=0,E54='2. AWARDS'!I$7,VLOOKUP(F54,'2. AWARDS'!$C$9:$O$35,12,FALSE)&lt;&gt;0),"date missing",IF(AND(N54=0,E54='2. AWARDS'!J$7,VLOOKUP(F54,'2. AWARDS'!$C$9:$O$35,13,FALSE)&lt;&gt;0),"date missing",IF(N54=0,0,IF(OR(N54=MIN(O54,Q54),AND(N54&lt;O54,N54&lt;Q54,N54&gt;0)),IF(E54='2. AWARDS'!F$7,VLOOKUP(F54,'2. AWARDS'!$C$9:$O$35,9,FALSE),IF(E54='2. AWARDS'!G$7,VLOOKUP(F54,'2. AWARDS'!$C$9:$O$35,10,FALSE),IF(E54='2. AWARDS'!H$7,VLOOKUP(F54,'2. AWARDS'!$C$9:$O$35,11,FALSE),IF(E54='2. AWARDS'!I$7,VLOOKUP(F54,'2. AWARDS'!$C$9:$O$35,12,FALSE),IF(E54='2. AWARDS'!J$7,VLOOKUP(F54,'2. AWARDS'!$C$9:$O$35,13,FALSE)))))),IF(AND(N54&gt;O54,N54&lt;Q54),IF(E54='2. AWARDS'!F$7,(1+P54)*VLOOKUP(F54,'2. AWARDS'!$C$9:$O$35,9,FALSE),IF(E54='2. AWARDS'!G$7,(1+P54)*VLOOKUP(F54,'2. AWARDS'!$C$9:$O$35,10,FALSE),IF(E54='2. AWARDS'!H$7,(1+P54)*VLOOKUP(F54,'2. AWARDS'!$C$9:$O$35,11,FALSE),IF(E54='2. AWARDS'!I$7,(1+P54)*VLOOKUP(F54,'2. AWARDS'!$C$9:$O$35,12,FALSE),IF(E54='2. AWARDS'!J$7,(1+P54)*VLOOKUP(F54,'2. AWARDS'!$C$9:$O$35,13,FALSE)))))),IF(AND(N54&lt;O54,N54&gt;Q54),IF(E54='2. AWARDS'!F$7,(1+(R54/9))*VLOOKUP(F54,'2. AWARDS'!$C$9:$O$35,9,FALSE),IF(E54='2. AWARDS'!G$7,(1+(R54/9))*VLOOKUP(F54,'2. AWARDS'!$C$9:$O$35,10,FALSE),IF(E54='2. AWARDS'!H$7,(1+(R54/9))*VLOOKUP(F54,'2. AWARDS'!$C$9:$O$35,11,FALSE),IF(E54='2. AWARDS'!I$7,(1+(R54/9))*VLOOKUP(F54,'2. AWARDS'!$C$9:$O$35,12,FALSE),IF(E54='2. AWARDS'!J$7,(1+(R54/9))*VLOOKUP(F54,'2. AWARDS'!$C$9:$O$35,13,FALSE)))))),IF(OR(N54=MAX(O54,Q54),AND(N54&gt;O54,N54&gt;Q54)),IF(E54='2. AWARDS'!F$7,((1+(R54/9))*(1+P54))*VLOOKUP(F54,'2. AWARDS'!$C$9:$O$35,9,FALSE),IF(E54='2. AWARDS'!G$7,((1+(R54/9))*(1+P54))*VLOOKUP(F54,'2. AWARDS'!$C$9:$O$35,10,FALSE),IF(E54='2. AWARDS'!H$7,((1+(R54/9))*(1+P54))*VLOOKUP(F54,'2. AWARDS'!$C$9:$O$35,11,FALSE),IF(E54='2. AWARDS'!I$7,((1+(R54/9))*(1+P54))*VLOOKUP(F54,'2. AWARDS'!$C$9:$O$35,12,FALSE),IF(E54='2. AWARDS'!J$7,((1+(R54/9))*(1+P54))*VLOOKUP(F54,'2. AWARDS'!$C$9:$O$35,13,FALSE)))))),"?")))))))))))</f>
        <v>0</v>
      </c>
      <c r="Z54" s="814" t="e">
        <f>IF(AND(E54='2. AWARDS'!F40,O54&gt;N54,O54&gt;Q54,VLOOKUP(F54,'2. AWARDS'!$C$9:$O$35,9,FALSE)&lt;&gt;0),VLOOKUP(F54,'2. AWARDS'!$C$9:$O$35,9,FALSE)*(1+P54)*(1+(R54/9)),IF(AND(E54='2. AWARDS'!F40,O54&gt;N54,O54&gt;Q54,VLOOKUP(F54,'2. AWARDS'!$C$9:$O$35,9,FALSE)=0),X54*(1+P54)*(1+(R54/9)),IF(AND(E54='2. AWARDS'!G40,O54&gt;N54,O54&gt;Q54,VLOOKUP(F54,'2. AWARDS'!$C$9:$O$35,10,FALSE)&lt;&gt;0),VLOOKUP(F54,'2. AWARDS'!$C$9:$O$35,10,FALSE)*(1+P54)*(1+(R54/9)),IF(AND(E54='2. AWARDS'!G40,O54&gt;N54,O54&gt;Q54,VLOOKUP(F54,'2. AWARDS'!$C$9:$O$35,10,FALSE)=0),X54*(1+P54)*(1+(R54/9)),IF(AND(E54='2. AWARDS'!H40,O54&gt;N54,O54&gt;Q54,VLOOKUP(F54,'2. AWARDS'!$C$9:$O$35,11,FALSE)&lt;&gt;0),VLOOKUP(F54,'2. AWARDS'!$C$9:$O$35,11,FALSE)*(1+P54)*(1+(R54/9)),IF(AND(E54='2. AWARDS'!H40,O54&gt;N54,O54&gt;Q54,VLOOKUP(F54,'2. AWARDS'!$C$9:$O$35,11,FALSE)=0),X54*(1+P54)*(1+(R54/9)),IF(AND(E54='2. AWARDS'!I40,O54&gt;N54,O54&gt;Q54,VLOOKUP(F54,'2. AWARDS'!$C$9:$O$35,12,FALSE)&lt;&gt;0),VLOOKUP(F54,'2. AWARDS'!$C$9:$O$35,12,FALSE)*(1+P54)*(1+(R54/9)),IF(AND(E54='2. AWARDS'!I40,O54&gt;N54,O54&gt;Q54,VLOOKUP(F54,'2. AWARDS'!$C$9:$O$35,12,FALSE)=0),X54*(1+P54)*(1+(R54/9)),IF(AND(E54='2. AWARDS'!J40,O54&gt;N54,O54&gt;Q54,VLOOKUP(F54,'2. AWARDS'!$C$9:$O$35,13,FALSE)&lt;&gt;0),VLOOKUP(F54,'2. AWARDS'!$C$9:$O$35,13,FALSE)*(1+P54)*(1+(R54/9)),IF(AND(E54='2. AWARDS'!J40,O54&gt;N54,O54&gt;Q54,VLOOKUP(F54,'2. AWARDS'!$C$9:$O$35,13,FALSE)=0),X54*(1+P54)*(1+(R54/9)),IF(AND(O54&lt;N54,O54&gt;Q54),X54*(1+P54)*(1+(R54/9)),IF(AND(E54='2. AWARDS'!F40,O54=MAX(N54,Q54),VLOOKUP(F54,'2. AWARDS'!$C$9:$O$35,9,FALSE)&lt;&gt;0),VLOOKUP(F54,'2. AWARDS'!$C$9:$O$35,9,FALSE)*(1+P54)*(1+(R54/9)),IF(AND(E54='2. AWARDS'!F40,O54=MAX(N54,Q54),VLOOKUP(F54,'2. AWARDS'!$C$9:$O$35,9,FALSE)=0),X54*(1+P54)*(1+(R54/9)),IF(AND(E54='2. AWARDS'!G40,O54=MAX(N54,Q54),VLOOKUP(F54,'2. AWARDS'!$C$9:$O$35,10,FALSE)&lt;&gt;0),VLOOKUP(F54,'2. AWARDS'!$C$9:$O$35,10,FALSE)*(1+P54)*(1+(R54/9)),IF(AND(E54='2. AWARDS'!G40,O54=MAX(N54,Q54),VLOOKUP(F54,'2. AWARDS'!$C$9:$O$35,10,FALSE)=0),X54*(1+P54)*(1+(R54/9)),IF(AND(E54='2. AWARDS'!H40,O54=MAX(N54,Q54),VLOOKUP(F54,'2. AWARDS'!$C$9:$O$35,11,FALSE)&lt;&gt;0),VLOOKUP(F54,'2. AWARDS'!$C$9:$O$35,11,FALSE)*(1+P54)*(1+(R54/9)),IF(AND(E54='2. AWARDS'!H40,O54=MAX(N54,Q54),VLOOKUP(F54,'2. AWARDS'!$C$9:$O$35,11,FALSE)=0),X54*(1+P54)*(1+(R54/9)),IF(AND(E54='2. AWARDS'!I40,O54=MAX(N54,Q54),VLOOKUP(F54,'2. AWARDS'!$C$9:$O$35,12,FALSE)&lt;&gt;0),VLOOKUP(F54,'2. AWARDS'!$C$9:$O$35,12,FALSE)*(1+P54)*(1+(R54/9)),IF(AND(E54='2. AWARDS'!I40,O54=MAX(N54,Q54),VLOOKUP(F54,'2. AWARDS'!$C$9:$O$35,12,FALSE)=0),X54*(1+P54)*(1+(R54/9)),IF(AND(E54='2. AWARDS'!J40,O54=MAX(N54,Q54),VLOOKUP(F54,'2. AWARDS'!$C$9:$O$35,13,FALSE)&lt;&gt;0),VLOOKUP(F54,'2. AWARDS'!$C$9:$O$35,13,FALSE)*(1+P54)*(1+(R54/9)),IF(AND(E54='2. AWARDS'!J40,O54=MAX(N54,Q54),VLOOKUP(F54,'2. AWARDS'!$C$9:$O$35,13,FALSE)=0),X54*(1+P54)*(1+(R54/9)),IF(AND(O54&lt;N54,O54&lt;Q54),X54*(1+P54),IF(AND(O54=N54,N54&lt;Q54,E54='2. AWARDS'!F40),VLOOKUP(F54,'2. AWARDS'!$C$9:$O$35,9,FALSE)*(1+P54),IF(AND(O54=N54,N54&lt;Q54,E54='2. AWARDS'!G40),VLOOKUP(F54,'2. AWARDS'!$C$9:$O$35,10,FALSE)*(1+P54),IF(AND(O54=N54,N54&lt;Q54,E54='2. AWARDS'!H40),VLOOKUP(F54,'2. AWARDS'!$C$9:$O$35,11,FALSE)*(1+P54),IF(AND(O54=N54,N54&lt;Q54,E54='2. AWARDS'!I40),VLOOKUP(F54,'2. AWARDS'!$C$9:$O$35,12,FALSE)*(1+P54),IF(AND(O54=N54,N54&lt;Q54,E54='2. AWARDS'!J40),VLOOKUP(F54,'2. AWARDS'!$C$9:$O$35,13,FALSE)*(1+P54),IF(AND(O54=Q54,N54&gt;Q54),X54*(1+P54)*(1+(R54/9)),IF(AND(E54='2. AWARDS'!F40,O54&gt;N54,O54&lt;Q54,VLOOKUP(F54,'2. AWARDS'!$C$9:$O$35,9,FALSE)&lt;&gt;0),VLOOKUP(F54,'2. AWARDS'!$C$9:$O$35,9,FALSE)*(1+P54),IF(AND(E54='2. AWARDS'!G40,O54&gt;N54,O54&lt;Q54,VLOOKUP(F54,'2. AWARDS'!$C$9:$O$35,10,FALSE)&lt;&gt;0),VLOOKUP(F54,'2. AWARDS'!$C$9:$O$35,10,FALSE)*(1+P54),IF(AND(E54='2. AWARDS'!H40,O54&gt;N54,O54&lt;Q54,VLOOKUP(F54,'2. AWARDS'!$C$9:$O$35,11,FALSE)&lt;&gt;0),VLOOKUP(F54,'2. AWARDS'!$C$9:$O$35,11,FALSE)*(1+P54),IF(AND(E54='2. AWARDS'!I40,O54&gt;N54,O54&lt;Q54,VLOOKUP(F54,'2. AWARDS'!$C$9:$O$35,12,FALSE)&lt;&gt;0),VLOOKUP(F54,'2. AWARDS'!$C$9:$O$35,12,FALSE)*(1+P54),IF(AND(E54='2. AWARDS'!J40,O54&gt;N54,O54&lt;Q54,VLOOKUP(F54,'2. AWARDS'!$C$9:$O$35,13,FALSE)&lt;&gt;0),VLOOKUP(F54,'2. AWARDS'!$C$9:$O$35,13,FALSE)*(1+P54),X54*(1+P54))))))))))))))))))))))))))))))))))</f>
        <v>#N/A</v>
      </c>
      <c r="AA54" s="816" t="e">
        <f t="shared" ref="AA54:AA66" si="64">IF(AND(Q54&gt;O54,Q54&gt;N54),(MAX(Y54,Z54)*(R54/9))+MAX(Y54:Z54),IF(AND(Q54&gt;N54,Q54&lt;O54),IF(OR(F54=1.3,F54=2.4,F54=3.4,F54=4.4,F54=5.3,F54=6.3,F54=7.3,F54=8.3),(X54*(R54/9))+X54,(Y54*(R54/9))+Y54),IF(Q54&gt;O54,(Z54*(R54/9))+Z54,(X54*(R54/9)+X54))))</f>
        <v>#VALUE!</v>
      </c>
      <c r="AB54" s="684"/>
      <c r="AC54" s="776"/>
      <c r="AD54" s="776"/>
      <c r="AE54" s="779"/>
      <c r="AF54" s="1127">
        <f t="shared" si="59"/>
        <v>0</v>
      </c>
      <c r="AG54" s="781" t="e">
        <f>HLOOKUP(E54,'2. AWARDS'!$F$7:$J$40,32,FALSE)/5*HLOOKUP(E54,'2. AWARDS'!$F$7:$J$40,31,FALSE)*MAX(W54:AA54)*M54*HLOOKUP(E54,'2. AWARDS'!$F$7:$J$40,34,FALSE)*(L54/(38*2))</f>
        <v>#N/A</v>
      </c>
      <c r="AH54" s="786" t="e">
        <f>((HLOOKUP(E54,'2. AWARDS'!$F$7:$J$42,36,FALSE)/HLOOKUP(E54,'2. AWARDS'!$F$7:$J$42,35,FALSE)*HLOOKUP(E54,'2. AWARDS'!$F$7:$J$45,39,FALSE))/(HLOOKUP(E54,'2. AWARDS'!$F$7:$J$45,31,FALSE)*2)*L54*M54*HLOOKUP(E54,'2. AWARDS'!$F$7:$J$45,31,FALSE)*MAX(W54:AA54))</f>
        <v>#N/A</v>
      </c>
      <c r="AI54" s="682"/>
      <c r="AJ54" s="804"/>
      <c r="AK54" s="821"/>
      <c r="AL54" s="821"/>
      <c r="AM54" s="823"/>
      <c r="AN54" s="1012"/>
      <c r="AO54" s="843">
        <f>IF(AJ54="YES",HLOOKUP(E54,'2. AWARDS'!$F$7:$J$38,32,FALSE)/5*HLOOKUP(E54,'2. AWARDS'!$F$7:$J$37,31,FALSE)*L54/(HLOOKUP(E54,'2. AWARDS'!$F$7:$J$37,31,FALSE)*2)*M54*MAX(W54:AA54)*(1+HLOOKUP(E54,'2. AWARDS'!$F$7:$J$43,37,FALSE))*(1-AM54),0)</f>
        <v>0</v>
      </c>
      <c r="AP54" s="843">
        <f>IF(AK54="YES",HLOOKUP(E54,'2. AWARDS'!$F$7:$J$39,33,FALSE)/5*HLOOKUP(E54,'2. AWARDS'!$F$7:$J$37,31,FALSE)*L54/(HLOOKUP(E54,'2. AWARDS'!$F$7:$J$37,31,FALSE)*2)*M54*MAX(W54:AA54)*(1+HLOOKUP(E54,'2. AWARDS'!$F$7:$J$43,37,FALSE))*(1-AM54),0)</f>
        <v>0</v>
      </c>
      <c r="AQ54" s="843">
        <f>IF(AL54="YES",HLOOKUP(E54,'2. AWARDS'!$F$7:$J$47,40,FALSE)/5*HLOOKUP(E54,'2. AWARDS'!$F$7:$J$37,31,FALSE)*L54/(HLOOKUP(E54,'2. AWARDS'!$F$7:$J$37,31,FALSE)*2)*M54*MAX(W54:AA54)*(1+HLOOKUP(E54,'2. AWARDS'!$F$7:$J$43,37,FALSE))*(1-AM54),0)</f>
        <v>0</v>
      </c>
      <c r="AR54" s="844" t="e">
        <f>(IF(AJ54="YES",HLOOKUP(E54,'2. AWARDS'!$F$7:$J$39,32,FALSE),0)+IF(AK54="YES",HLOOKUP(E54,'2. AWARDS'!$F$7:$J$39,33,FALSE),0)+IF(AL54="YES",HLOOKUP(E54,'2. AWARDS'!$F$7:$J$47,40,FALSE),0))/5*(HLOOKUP(E54,'2. AWARDS'!$F$7:$J$39,31,FALSE)*2)*AM54*AN54</f>
        <v>#N/A</v>
      </c>
      <c r="AS54" s="684"/>
      <c r="AT54" s="802">
        <v>0.04</v>
      </c>
      <c r="AU54" s="822">
        <f>'1. KEY DATA'!J$30</f>
        <v>0.09</v>
      </c>
      <c r="AV54" s="502"/>
      <c r="AW54" s="478">
        <f t="shared" si="60"/>
        <v>0</v>
      </c>
      <c r="AX54" s="502"/>
      <c r="AY54" s="996"/>
      <c r="AZ54" s="997"/>
      <c r="BA54" s="997"/>
      <c r="BB54" s="997"/>
      <c r="BC54" s="997"/>
      <c r="BD54" s="997"/>
      <c r="BE54" s="997"/>
      <c r="BF54" s="997"/>
      <c r="BG54" s="997"/>
      <c r="BH54" s="997"/>
      <c r="BI54" s="1018"/>
      <c r="BJ54" s="1018"/>
      <c r="BK54" s="1018"/>
      <c r="BL54" s="1019"/>
      <c r="BM54" s="301">
        <f t="shared" si="61"/>
        <v>1</v>
      </c>
      <c r="BO54" s="389" t="str">
        <f t="shared" ref="BO54:BO66" si="65">IF($AW54&gt;0,IF($BM54=0,$AW54*AY54,"alloc error"),"-")</f>
        <v>-</v>
      </c>
      <c r="BP54" s="384" t="str">
        <f t="shared" ref="BP54:BP66" si="66">IF($AW54&gt;0,IF($BM54=0,$AW54*AZ54,"alloc error"),"-")</f>
        <v>-</v>
      </c>
      <c r="BQ54" s="384" t="str">
        <f t="shared" ref="BQ54:BQ66" si="67">IF($AW54&gt;0,IF($BM54=0,$AW54*BA54,"alloc error"),"-")</f>
        <v>-</v>
      </c>
      <c r="BR54" s="384" t="str">
        <f t="shared" ref="BR54:BR66" si="68">IF($AW54&gt;0,IF($BM54=0,$AW54*BB54,"alloc error"),"-")</f>
        <v>-</v>
      </c>
      <c r="BS54" s="384" t="str">
        <f t="shared" ref="BS54:BS66" si="69">IF($AW54&gt;0,IF($BM54=0,$AW54*BC54,"alloc error"),"-")</f>
        <v>-</v>
      </c>
      <c r="BT54" s="384" t="str">
        <f t="shared" ref="BT54:BT66" si="70">IF($AW54&gt;0,IF($BM54=0,$AW54*BD54,"alloc error"),"-")</f>
        <v>-</v>
      </c>
      <c r="BU54" s="384" t="str">
        <f t="shared" ref="BU54:BU66" si="71">IF($AW54&gt;0,IF($BM54=0,$AW54*BE54,"alloc error"),"-")</f>
        <v>-</v>
      </c>
      <c r="BV54" s="384" t="str">
        <f t="shared" ref="BV54:BV66" si="72">IF($AW54&gt;0,IF($BM54=0,$AW54*BF54,"alloc error"),"-")</f>
        <v>-</v>
      </c>
      <c r="BW54" s="384" t="str">
        <f t="shared" ref="BW54:BW66" si="73">IF($AW54&gt;0,IF($BM54=0,$AW54*BG54,"alloc error"),"-")</f>
        <v>-</v>
      </c>
      <c r="BX54" s="384" t="str">
        <f t="shared" ref="BX54:BX66" si="74">IF($AW54&gt;0,IF($BM54=0,$AW54*BH54,"alloc error"),"-")</f>
        <v>-</v>
      </c>
      <c r="BY54" s="385" t="str">
        <f t="shared" ref="BY54:BY66" si="75">IF($AW54&gt;0,IF($BM54=0,$AW54*BI54,"alloc error"),"-")</f>
        <v>-</v>
      </c>
      <c r="BZ54" s="385" t="str">
        <f t="shared" ref="BZ54:BZ66" si="76">IF($AW54&gt;0,IF($BM54=0,$AW54*BJ54,"alloc error"),"-")</f>
        <v>-</v>
      </c>
      <c r="CA54" s="385" t="str">
        <f t="shared" ref="CA54:CA66" si="77">IF($AW54&gt;0,IF($BM54=0,$AW54*BK54,"alloc error"),"-")</f>
        <v>-</v>
      </c>
      <c r="CB54" s="390" t="str">
        <f t="shared" ref="CB54:CB66" si="78">IF($AW54&gt;0,IF($BM54=0,$AW54*BL54,"alloc error"),"-")</f>
        <v>-</v>
      </c>
    </row>
    <row r="55" spans="1:80">
      <c r="B55" s="231"/>
      <c r="C55" s="214"/>
      <c r="D55" s="699">
        <f t="shared" si="63"/>
        <v>0</v>
      </c>
      <c r="E55" s="626"/>
      <c r="F55" s="903"/>
      <c r="G55" s="625"/>
      <c r="H55" s="765"/>
      <c r="I55" s="1118"/>
      <c r="J55" s="1123"/>
      <c r="K55" s="1124"/>
      <c r="L55" s="1109"/>
      <c r="M55" s="689"/>
      <c r="N55" s="634"/>
      <c r="O55" s="634"/>
      <c r="P55" s="638">
        <f t="shared" ref="P55:P66" si="79">P54</f>
        <v>0.03</v>
      </c>
      <c r="Q55" s="634"/>
      <c r="R55" s="812" t="str">
        <f t="shared" si="57"/>
        <v>-</v>
      </c>
      <c r="S55" s="649"/>
      <c r="T55" s="768"/>
      <c r="U55" s="834"/>
      <c r="V55" s="772"/>
      <c r="W55" s="817">
        <f t="shared" si="58"/>
        <v>0</v>
      </c>
      <c r="X55" s="817">
        <f>IF(OR(E55=0,F55=0),0,IF(E55='2. AWARDS'!F$7,VLOOKUP(F55,'2. AWARDS'!$C$9:$F$35,4,FALSE),IF(E55='2. AWARDS'!G$7,VLOOKUP(F55,'2. AWARDS'!$C$9:$G$35,5,FALSE),IF(E55='2. AWARDS'!H$7,VLOOKUP(F55,'2. AWARDS'!$C$9:$H$35,6,FALSE),IF(E55='2. AWARDS'!I$7,VLOOKUP(F55,'2. AWARDS'!$C$9:$I$35,7,FALSE),VLOOKUP(F55,'2. AWARDS'!$C$9:$J$35,8,FALSE))))))</f>
        <v>0</v>
      </c>
      <c r="Y55" s="815">
        <f>IF(OR(E55=0,F55=0),0,IF(AND(N55=0,E55='2. AWARDS'!F$7,VLOOKUP(F55,'2. AWARDS'!$C$9:$O$35,9,FALSE)&lt;&gt;0),"date missing",IF(AND(N55=0,E55='2. AWARDS'!G$7,VLOOKUP(F55,'2. AWARDS'!$C$9:$O$35,10,FALSE)&lt;&gt;0),"date missing",IF(AND(N55=0,E55='2. AWARDS'!H$7,VLOOKUP(F55,'2. AWARDS'!$C$9:$O$35,11,FALSE)&lt;&gt;0),"date missing",IF(AND(N55=0,E55='2. AWARDS'!I$7,VLOOKUP(F55,'2. AWARDS'!$C$9:$O$35,12,FALSE)&lt;&gt;0),"date missing",IF(AND(N55=0,E55='2. AWARDS'!J$7,VLOOKUP(F55,'2. AWARDS'!$C$9:$O$35,13,FALSE)&lt;&gt;0),"date missing",IF(N55=0,0,IF(OR(N55=MIN(O55,Q55),AND(N55&lt;O55,N55&lt;Q55,N55&gt;0)),IF(E55='2. AWARDS'!F$7,VLOOKUP(F55,'2. AWARDS'!$C$9:$O$35,9,FALSE),IF(E55='2. AWARDS'!G$7,VLOOKUP(F55,'2. AWARDS'!$C$9:$O$35,10,FALSE),IF(E55='2. AWARDS'!H$7,VLOOKUP(F55,'2. AWARDS'!$C$9:$O$35,11,FALSE),IF(E55='2. AWARDS'!I$7,VLOOKUP(F55,'2. AWARDS'!$C$9:$O$35,12,FALSE),IF(E55='2. AWARDS'!J$7,VLOOKUP(F55,'2. AWARDS'!$C$9:$O$35,13,FALSE)))))),IF(AND(N55&gt;O55,N55&lt;Q55),IF(E55='2. AWARDS'!F$7,(1+P55)*VLOOKUP(F55,'2. AWARDS'!$C$9:$O$35,9,FALSE),IF(E55='2. AWARDS'!G$7,(1+P55)*VLOOKUP(F55,'2. AWARDS'!$C$9:$O$35,10,FALSE),IF(E55='2. AWARDS'!H$7,(1+P55)*VLOOKUP(F55,'2. AWARDS'!$C$9:$O$35,11,FALSE),IF(E55='2. AWARDS'!I$7,(1+P55)*VLOOKUP(F55,'2. AWARDS'!$C$9:$O$35,12,FALSE),IF(E55='2. AWARDS'!J$7,(1+P55)*VLOOKUP(F55,'2. AWARDS'!$C$9:$O$35,13,FALSE)))))),IF(AND(N55&lt;O55,N55&gt;Q55),IF(E55='2. AWARDS'!F$7,(1+(R55/9))*VLOOKUP(F55,'2. AWARDS'!$C$9:$O$35,9,FALSE),IF(E55='2. AWARDS'!G$7,(1+(R55/9))*VLOOKUP(F55,'2. AWARDS'!$C$9:$O$35,10,FALSE),IF(E55='2. AWARDS'!H$7,(1+(R55/9))*VLOOKUP(F55,'2. AWARDS'!$C$9:$O$35,11,FALSE),IF(E55='2. AWARDS'!I$7,(1+(R55/9))*VLOOKUP(F55,'2. AWARDS'!$C$9:$O$35,12,FALSE),IF(E55='2. AWARDS'!J$7,(1+(R55/9))*VLOOKUP(F55,'2. AWARDS'!$C$9:$O$35,13,FALSE)))))),IF(OR(N55=MAX(O55,Q55),AND(N55&gt;O55,N55&gt;Q55)),IF(E55='2. AWARDS'!F$7,((1+(R55/9))*(1+P55))*VLOOKUP(F55,'2. AWARDS'!$C$9:$O$35,9,FALSE),IF(E55='2. AWARDS'!G$7,((1+(R55/9))*(1+P55))*VLOOKUP(F55,'2. AWARDS'!$C$9:$O$35,10,FALSE),IF(E55='2. AWARDS'!H$7,((1+(R55/9))*(1+P55))*VLOOKUP(F55,'2. AWARDS'!$C$9:$O$35,11,FALSE),IF(E55='2. AWARDS'!I$7,((1+(R55/9))*(1+P55))*VLOOKUP(F55,'2. AWARDS'!$C$9:$O$35,12,FALSE),IF(E55='2. AWARDS'!J$7,((1+(R55/9))*(1+P55))*VLOOKUP(F55,'2. AWARDS'!$C$9:$O$35,13,FALSE)))))),"?")))))))))))</f>
        <v>0</v>
      </c>
      <c r="Z55" s="814" t="e">
        <f>IF(AND(E55='2. AWARDS'!F41,O55&gt;N55,O55&gt;Q55,VLOOKUP(F55,'2. AWARDS'!$C$9:$O$35,9,FALSE)&lt;&gt;0),VLOOKUP(F55,'2. AWARDS'!$C$9:$O$35,9,FALSE)*(1+P55)*(1+(R55/9)),IF(AND(E55='2. AWARDS'!F41,O55&gt;N55,O55&gt;Q55,VLOOKUP(F55,'2. AWARDS'!$C$9:$O$35,9,FALSE)=0),X55*(1+P55)*(1+(R55/9)),IF(AND(E55='2. AWARDS'!G41,O55&gt;N55,O55&gt;Q55,VLOOKUP(F55,'2. AWARDS'!$C$9:$O$35,10,FALSE)&lt;&gt;0),VLOOKUP(F55,'2. AWARDS'!$C$9:$O$35,10,FALSE)*(1+P55)*(1+(R55/9)),IF(AND(E55='2. AWARDS'!G41,O55&gt;N55,O55&gt;Q55,VLOOKUP(F55,'2. AWARDS'!$C$9:$O$35,10,FALSE)=0),X55*(1+P55)*(1+(R55/9)),IF(AND(E55='2. AWARDS'!H41,O55&gt;N55,O55&gt;Q55,VLOOKUP(F55,'2. AWARDS'!$C$9:$O$35,11,FALSE)&lt;&gt;0),VLOOKUP(F55,'2. AWARDS'!$C$9:$O$35,11,FALSE)*(1+P55)*(1+(R55/9)),IF(AND(E55='2. AWARDS'!H41,O55&gt;N55,O55&gt;Q55,VLOOKUP(F55,'2. AWARDS'!$C$9:$O$35,11,FALSE)=0),X55*(1+P55)*(1+(R55/9)),IF(AND(E55='2. AWARDS'!I41,O55&gt;N55,O55&gt;Q55,VLOOKUP(F55,'2. AWARDS'!$C$9:$O$35,12,FALSE)&lt;&gt;0),VLOOKUP(F55,'2. AWARDS'!$C$9:$O$35,12,FALSE)*(1+P55)*(1+(R55/9)),IF(AND(E55='2. AWARDS'!I41,O55&gt;N55,O55&gt;Q55,VLOOKUP(F55,'2. AWARDS'!$C$9:$O$35,12,FALSE)=0),X55*(1+P55)*(1+(R55/9)),IF(AND(E55='2. AWARDS'!J41,O55&gt;N55,O55&gt;Q55,VLOOKUP(F55,'2. AWARDS'!$C$9:$O$35,13,FALSE)&lt;&gt;0),VLOOKUP(F55,'2. AWARDS'!$C$9:$O$35,13,FALSE)*(1+P55)*(1+(R55/9)),IF(AND(E55='2. AWARDS'!J41,O55&gt;N55,O55&gt;Q55,VLOOKUP(F55,'2. AWARDS'!$C$9:$O$35,13,FALSE)=0),X55*(1+P55)*(1+(R55/9)),IF(AND(O55&lt;N55,O55&gt;Q55),X55*(1+P55)*(1+(R55/9)),IF(AND(E55='2. AWARDS'!F41,O55=MAX(N55,Q55),VLOOKUP(F55,'2. AWARDS'!$C$9:$O$35,9,FALSE)&lt;&gt;0),VLOOKUP(F55,'2. AWARDS'!$C$9:$O$35,9,FALSE)*(1+P55)*(1+(R55/9)),IF(AND(E55='2. AWARDS'!F41,O55=MAX(N55,Q55),VLOOKUP(F55,'2. AWARDS'!$C$9:$O$35,9,FALSE)=0),X55*(1+P55)*(1+(R55/9)),IF(AND(E55='2. AWARDS'!G41,O55=MAX(N55,Q55),VLOOKUP(F55,'2. AWARDS'!$C$9:$O$35,10,FALSE)&lt;&gt;0),VLOOKUP(F55,'2. AWARDS'!$C$9:$O$35,10,FALSE)*(1+P55)*(1+(R55/9)),IF(AND(E55='2. AWARDS'!G41,O55=MAX(N55,Q55),VLOOKUP(F55,'2. AWARDS'!$C$9:$O$35,10,FALSE)=0),X55*(1+P55)*(1+(R55/9)),IF(AND(E55='2. AWARDS'!H41,O55=MAX(N55,Q55),VLOOKUP(F55,'2. AWARDS'!$C$9:$O$35,11,FALSE)&lt;&gt;0),VLOOKUP(F55,'2. AWARDS'!$C$9:$O$35,11,FALSE)*(1+P55)*(1+(R55/9)),IF(AND(E55='2. AWARDS'!H41,O55=MAX(N55,Q55),VLOOKUP(F55,'2. AWARDS'!$C$9:$O$35,11,FALSE)=0),X55*(1+P55)*(1+(R55/9)),IF(AND(E55='2. AWARDS'!I41,O55=MAX(N55,Q55),VLOOKUP(F55,'2. AWARDS'!$C$9:$O$35,12,FALSE)&lt;&gt;0),VLOOKUP(F55,'2. AWARDS'!$C$9:$O$35,12,FALSE)*(1+P55)*(1+(R55/9)),IF(AND(E55='2. AWARDS'!I41,O55=MAX(N55,Q55),VLOOKUP(F55,'2. AWARDS'!$C$9:$O$35,12,FALSE)=0),X55*(1+P55)*(1+(R55/9)),IF(AND(E55='2. AWARDS'!J41,O55=MAX(N55,Q55),VLOOKUP(F55,'2. AWARDS'!$C$9:$O$35,13,FALSE)&lt;&gt;0),VLOOKUP(F55,'2. AWARDS'!$C$9:$O$35,13,FALSE)*(1+P55)*(1+(R55/9)),IF(AND(E55='2. AWARDS'!J41,O55=MAX(N55,Q55),VLOOKUP(F55,'2. AWARDS'!$C$9:$O$35,13,FALSE)=0),X55*(1+P55)*(1+(R55/9)),IF(AND(O55&lt;N55,O55&lt;Q55),X55*(1+P55),IF(AND(O55=N55,N55&lt;Q55,E55='2. AWARDS'!F41),VLOOKUP(F55,'2. AWARDS'!$C$9:$O$35,9,FALSE)*(1+P55),IF(AND(O55=N55,N55&lt;Q55,E55='2. AWARDS'!G41),VLOOKUP(F55,'2. AWARDS'!$C$9:$O$35,10,FALSE)*(1+P55),IF(AND(O55=N55,N55&lt;Q55,E55='2. AWARDS'!H41),VLOOKUP(F55,'2. AWARDS'!$C$9:$O$35,11,FALSE)*(1+P55),IF(AND(O55=N55,N55&lt;Q55,E55='2. AWARDS'!I41),VLOOKUP(F55,'2. AWARDS'!$C$9:$O$35,12,FALSE)*(1+P55),IF(AND(O55=N55,N55&lt;Q55,E55='2. AWARDS'!J41),VLOOKUP(F55,'2. AWARDS'!$C$9:$O$35,13,FALSE)*(1+P55),IF(AND(O55=Q55,N55&gt;Q55),X55*(1+P55)*(1+(R55/9)),IF(AND(E55='2. AWARDS'!F41,O55&gt;N55,O55&lt;Q55,VLOOKUP(F55,'2. AWARDS'!$C$9:$O$35,9,FALSE)&lt;&gt;0),VLOOKUP(F55,'2. AWARDS'!$C$9:$O$35,9,FALSE)*(1+P55),IF(AND(E55='2. AWARDS'!G41,O55&gt;N55,O55&lt;Q55,VLOOKUP(F55,'2. AWARDS'!$C$9:$O$35,10,FALSE)&lt;&gt;0),VLOOKUP(F55,'2. AWARDS'!$C$9:$O$35,10,FALSE)*(1+P55),IF(AND(E55='2. AWARDS'!H41,O55&gt;N55,O55&lt;Q55,VLOOKUP(F55,'2. AWARDS'!$C$9:$O$35,11,FALSE)&lt;&gt;0),VLOOKUP(F55,'2. AWARDS'!$C$9:$O$35,11,FALSE)*(1+P55),IF(AND(E55='2. AWARDS'!I41,O55&gt;N55,O55&lt;Q55,VLOOKUP(F55,'2. AWARDS'!$C$9:$O$35,12,FALSE)&lt;&gt;0),VLOOKUP(F55,'2. AWARDS'!$C$9:$O$35,12,FALSE)*(1+P55),IF(AND(E55='2. AWARDS'!J41,O55&gt;N55,O55&lt;Q55,VLOOKUP(F55,'2. AWARDS'!$C$9:$O$35,13,FALSE)&lt;&gt;0),VLOOKUP(F55,'2. AWARDS'!$C$9:$O$35,13,FALSE)*(1+P55),X55*(1+P55))))))))))))))))))))))))))))))))))</f>
        <v>#N/A</v>
      </c>
      <c r="AA55" s="816" t="e">
        <f t="shared" si="64"/>
        <v>#VALUE!</v>
      </c>
      <c r="AB55" s="684"/>
      <c r="AC55" s="776"/>
      <c r="AD55" s="776"/>
      <c r="AE55" s="779"/>
      <c r="AF55" s="1127">
        <f t="shared" si="59"/>
        <v>0</v>
      </c>
      <c r="AG55" s="781" t="e">
        <f>HLOOKUP(E55,'2. AWARDS'!$F$7:$J$40,32,FALSE)/5*HLOOKUP(E55,'2. AWARDS'!$F$7:$J$40,31,FALSE)*MAX(W55:AA55)*M55*HLOOKUP(E55,'2. AWARDS'!$F$7:$J$40,34,FALSE)*(L55/(38*2))</f>
        <v>#N/A</v>
      </c>
      <c r="AH55" s="786" t="e">
        <f>((HLOOKUP(E55,'2. AWARDS'!$F$7:$J$42,36,FALSE)/HLOOKUP(E55,'2. AWARDS'!$F$7:$J$42,35,FALSE)*HLOOKUP(E55,'2. AWARDS'!$F$7:$J$45,39,FALSE))/(HLOOKUP(E55,'2. AWARDS'!$F$7:$J$45,31,FALSE)*2)*L55*M55*HLOOKUP(E55,'2. AWARDS'!$F$7:$J$45,31,FALSE)*MAX(W55:AA55))</f>
        <v>#N/A</v>
      </c>
      <c r="AI55" s="682"/>
      <c r="AJ55" s="804"/>
      <c r="AK55" s="821"/>
      <c r="AL55" s="821"/>
      <c r="AM55" s="823"/>
      <c r="AN55" s="1012"/>
      <c r="AO55" s="843">
        <f>IF(AJ55="YES",HLOOKUP(E55,'2. AWARDS'!$F$7:$J$38,32,FALSE)/5*HLOOKUP(E55,'2. AWARDS'!$F$7:$J$37,31,FALSE)*L55/(HLOOKUP(E55,'2. AWARDS'!$F$7:$J$37,31,FALSE)*2)*M55*MAX(W55:AA55)*(1+HLOOKUP(E55,'2. AWARDS'!$F$7:$J$43,37,FALSE))*(1-AM55),0)</f>
        <v>0</v>
      </c>
      <c r="AP55" s="843">
        <f>IF(AK55="YES",HLOOKUP(E55,'2. AWARDS'!$F$7:$J$39,33,FALSE)/5*HLOOKUP(E55,'2. AWARDS'!$F$7:$J$37,31,FALSE)*L55/(HLOOKUP(E55,'2. AWARDS'!$F$7:$J$37,31,FALSE)*2)*M55*MAX(W55:AA55)*(1+HLOOKUP(E55,'2. AWARDS'!$F$7:$J$43,37,FALSE))*(1-AM55),0)</f>
        <v>0</v>
      </c>
      <c r="AQ55" s="843">
        <f>IF(AL55="YES",HLOOKUP(E55,'2. AWARDS'!$F$7:$J$47,40,FALSE)/5*HLOOKUP(E55,'2. AWARDS'!$F$7:$J$37,31,FALSE)*L55/(HLOOKUP(E55,'2. AWARDS'!$F$7:$J$37,31,FALSE)*2)*M55*MAX(W55:AA55)*(1+HLOOKUP(E55,'2. AWARDS'!$F$7:$J$43,37,FALSE))*(1-AM55),0)</f>
        <v>0</v>
      </c>
      <c r="AR55" s="844" t="e">
        <f>(IF(AJ55="YES",HLOOKUP(E55,'2. AWARDS'!$F$7:$J$39,32,FALSE),0)+IF(AK55="YES",HLOOKUP(E55,'2. AWARDS'!$F$7:$J$39,33,FALSE),0)+IF(AL55="YES",HLOOKUP(E55,'2. AWARDS'!$F$7:$J$47,40,FALSE),0))/5*(HLOOKUP(E55,'2. AWARDS'!$F$7:$J$39,31,FALSE)*2)*AM55*AN55</f>
        <v>#N/A</v>
      </c>
      <c r="AS55" s="684"/>
      <c r="AT55" s="802">
        <v>0.04</v>
      </c>
      <c r="AU55" s="822">
        <f>'1. KEY DATA'!J$30</f>
        <v>0.09</v>
      </c>
      <c r="AV55" s="502"/>
      <c r="AW55" s="478">
        <f t="shared" si="60"/>
        <v>0</v>
      </c>
      <c r="AX55" s="502"/>
      <c r="AY55" s="998"/>
      <c r="AZ55" s="999"/>
      <c r="BA55" s="999"/>
      <c r="BB55" s="999"/>
      <c r="BC55" s="999"/>
      <c r="BD55" s="999"/>
      <c r="BE55" s="999"/>
      <c r="BF55" s="999"/>
      <c r="BG55" s="999"/>
      <c r="BH55" s="999"/>
      <c r="BI55" s="1020"/>
      <c r="BJ55" s="1020"/>
      <c r="BK55" s="1020"/>
      <c r="BL55" s="1021"/>
      <c r="BM55" s="301">
        <f t="shared" si="61"/>
        <v>1</v>
      </c>
      <c r="BO55" s="389" t="str">
        <f t="shared" si="65"/>
        <v>-</v>
      </c>
      <c r="BP55" s="384" t="str">
        <f t="shared" si="66"/>
        <v>-</v>
      </c>
      <c r="BQ55" s="384" t="str">
        <f t="shared" si="67"/>
        <v>-</v>
      </c>
      <c r="BR55" s="384" t="str">
        <f t="shared" si="68"/>
        <v>-</v>
      </c>
      <c r="BS55" s="384" t="str">
        <f t="shared" si="69"/>
        <v>-</v>
      </c>
      <c r="BT55" s="384" t="str">
        <f t="shared" si="70"/>
        <v>-</v>
      </c>
      <c r="BU55" s="384" t="str">
        <f t="shared" si="71"/>
        <v>-</v>
      </c>
      <c r="BV55" s="384" t="str">
        <f t="shared" si="72"/>
        <v>-</v>
      </c>
      <c r="BW55" s="384" t="str">
        <f t="shared" si="73"/>
        <v>-</v>
      </c>
      <c r="BX55" s="384" t="str">
        <f t="shared" si="74"/>
        <v>-</v>
      </c>
      <c r="BY55" s="385" t="str">
        <f t="shared" si="75"/>
        <v>-</v>
      </c>
      <c r="BZ55" s="385" t="str">
        <f t="shared" si="76"/>
        <v>-</v>
      </c>
      <c r="CA55" s="385" t="str">
        <f t="shared" si="77"/>
        <v>-</v>
      </c>
      <c r="CB55" s="390" t="str">
        <f t="shared" si="78"/>
        <v>-</v>
      </c>
    </row>
    <row r="56" spans="1:80">
      <c r="B56" s="231"/>
      <c r="C56" s="214"/>
      <c r="D56" s="699">
        <f t="shared" si="63"/>
        <v>0</v>
      </c>
      <c r="E56" s="626"/>
      <c r="F56" s="903"/>
      <c r="G56" s="625"/>
      <c r="H56" s="765"/>
      <c r="I56" s="1118"/>
      <c r="J56" s="1123"/>
      <c r="K56" s="1124"/>
      <c r="L56" s="1109"/>
      <c r="M56" s="689"/>
      <c r="N56" s="634"/>
      <c r="O56" s="634"/>
      <c r="P56" s="638">
        <f t="shared" si="79"/>
        <v>0.03</v>
      </c>
      <c r="Q56" s="634"/>
      <c r="R56" s="812" t="str">
        <f t="shared" si="57"/>
        <v>-</v>
      </c>
      <c r="S56" s="649"/>
      <c r="T56" s="768"/>
      <c r="U56" s="834"/>
      <c r="V56" s="772"/>
      <c r="W56" s="817">
        <f t="shared" si="58"/>
        <v>0</v>
      </c>
      <c r="X56" s="817">
        <f>IF(OR(E56=0,F56=0),0,IF(E56='2. AWARDS'!F$7,VLOOKUP(F56,'2. AWARDS'!$C$9:$F$35,4,FALSE),IF(E56='2. AWARDS'!G$7,VLOOKUP(F56,'2. AWARDS'!$C$9:$G$35,5,FALSE),IF(E56='2. AWARDS'!H$7,VLOOKUP(F56,'2. AWARDS'!$C$9:$H$35,6,FALSE),IF(E56='2. AWARDS'!I$7,VLOOKUP(F56,'2. AWARDS'!$C$9:$I$35,7,FALSE),VLOOKUP(F56,'2. AWARDS'!$C$9:$J$35,8,FALSE))))))</f>
        <v>0</v>
      </c>
      <c r="Y56" s="815">
        <f>IF(OR(E56=0,F56=0),0,IF(AND(N56=0,E56='2. AWARDS'!F$7,VLOOKUP(F56,'2. AWARDS'!$C$9:$O$35,9,FALSE)&lt;&gt;0),"date missing",IF(AND(N56=0,E56='2. AWARDS'!G$7,VLOOKUP(F56,'2. AWARDS'!$C$9:$O$35,10,FALSE)&lt;&gt;0),"date missing",IF(AND(N56=0,E56='2. AWARDS'!H$7,VLOOKUP(F56,'2. AWARDS'!$C$9:$O$35,11,FALSE)&lt;&gt;0),"date missing",IF(AND(N56=0,E56='2. AWARDS'!I$7,VLOOKUP(F56,'2. AWARDS'!$C$9:$O$35,12,FALSE)&lt;&gt;0),"date missing",IF(AND(N56=0,E56='2. AWARDS'!J$7,VLOOKUP(F56,'2. AWARDS'!$C$9:$O$35,13,FALSE)&lt;&gt;0),"date missing",IF(N56=0,0,IF(OR(N56=MIN(O56,Q56),AND(N56&lt;O56,N56&lt;Q56,N56&gt;0)),IF(E56='2. AWARDS'!F$7,VLOOKUP(F56,'2. AWARDS'!$C$9:$O$35,9,FALSE),IF(E56='2. AWARDS'!G$7,VLOOKUP(F56,'2. AWARDS'!$C$9:$O$35,10,FALSE),IF(E56='2. AWARDS'!H$7,VLOOKUP(F56,'2. AWARDS'!$C$9:$O$35,11,FALSE),IF(E56='2. AWARDS'!I$7,VLOOKUP(F56,'2. AWARDS'!$C$9:$O$35,12,FALSE),IF(E56='2. AWARDS'!J$7,VLOOKUP(F56,'2. AWARDS'!$C$9:$O$35,13,FALSE)))))),IF(AND(N56&gt;O56,N56&lt;Q56),IF(E56='2. AWARDS'!F$7,(1+P56)*VLOOKUP(F56,'2. AWARDS'!$C$9:$O$35,9,FALSE),IF(E56='2. AWARDS'!G$7,(1+P56)*VLOOKUP(F56,'2. AWARDS'!$C$9:$O$35,10,FALSE),IF(E56='2. AWARDS'!H$7,(1+P56)*VLOOKUP(F56,'2. AWARDS'!$C$9:$O$35,11,FALSE),IF(E56='2. AWARDS'!I$7,(1+P56)*VLOOKUP(F56,'2. AWARDS'!$C$9:$O$35,12,FALSE),IF(E56='2. AWARDS'!J$7,(1+P56)*VLOOKUP(F56,'2. AWARDS'!$C$9:$O$35,13,FALSE)))))),IF(AND(N56&lt;O56,N56&gt;Q56),IF(E56='2. AWARDS'!F$7,(1+(R56/9))*VLOOKUP(F56,'2. AWARDS'!$C$9:$O$35,9,FALSE),IF(E56='2. AWARDS'!G$7,(1+(R56/9))*VLOOKUP(F56,'2. AWARDS'!$C$9:$O$35,10,FALSE),IF(E56='2. AWARDS'!H$7,(1+(R56/9))*VLOOKUP(F56,'2. AWARDS'!$C$9:$O$35,11,FALSE),IF(E56='2. AWARDS'!I$7,(1+(R56/9))*VLOOKUP(F56,'2. AWARDS'!$C$9:$O$35,12,FALSE),IF(E56='2. AWARDS'!J$7,(1+(R56/9))*VLOOKUP(F56,'2. AWARDS'!$C$9:$O$35,13,FALSE)))))),IF(OR(N56=MAX(O56,Q56),AND(N56&gt;O56,N56&gt;Q56)),IF(E56='2. AWARDS'!F$7,((1+(R56/9))*(1+P56))*VLOOKUP(F56,'2. AWARDS'!$C$9:$O$35,9,FALSE),IF(E56='2. AWARDS'!G$7,((1+(R56/9))*(1+P56))*VLOOKUP(F56,'2. AWARDS'!$C$9:$O$35,10,FALSE),IF(E56='2. AWARDS'!H$7,((1+(R56/9))*(1+P56))*VLOOKUP(F56,'2. AWARDS'!$C$9:$O$35,11,FALSE),IF(E56='2. AWARDS'!I$7,((1+(R56/9))*(1+P56))*VLOOKUP(F56,'2. AWARDS'!$C$9:$O$35,12,FALSE),IF(E56='2. AWARDS'!J$7,((1+(R56/9))*(1+P56))*VLOOKUP(F56,'2. AWARDS'!$C$9:$O$35,13,FALSE)))))),"?")))))))))))</f>
        <v>0</v>
      </c>
      <c r="Z56" s="814" t="e">
        <f>IF(AND(E56='2. AWARDS'!F42,O56&gt;N56,O56&gt;Q56,VLOOKUP(F56,'2. AWARDS'!$C$9:$O$35,9,FALSE)&lt;&gt;0),VLOOKUP(F56,'2. AWARDS'!$C$9:$O$35,9,FALSE)*(1+P56)*(1+(R56/9)),IF(AND(E56='2. AWARDS'!F42,O56&gt;N56,O56&gt;Q56,VLOOKUP(F56,'2. AWARDS'!$C$9:$O$35,9,FALSE)=0),X56*(1+P56)*(1+(R56/9)),IF(AND(E56='2. AWARDS'!G42,O56&gt;N56,O56&gt;Q56,VLOOKUP(F56,'2. AWARDS'!$C$9:$O$35,10,FALSE)&lt;&gt;0),VLOOKUP(F56,'2. AWARDS'!$C$9:$O$35,10,FALSE)*(1+P56)*(1+(R56/9)),IF(AND(E56='2. AWARDS'!G42,O56&gt;N56,O56&gt;Q56,VLOOKUP(F56,'2. AWARDS'!$C$9:$O$35,10,FALSE)=0),X56*(1+P56)*(1+(R56/9)),IF(AND(E56='2. AWARDS'!H42,O56&gt;N56,O56&gt;Q56,VLOOKUP(F56,'2. AWARDS'!$C$9:$O$35,11,FALSE)&lt;&gt;0),VLOOKUP(F56,'2. AWARDS'!$C$9:$O$35,11,FALSE)*(1+P56)*(1+(R56/9)),IF(AND(E56='2. AWARDS'!H42,O56&gt;N56,O56&gt;Q56,VLOOKUP(F56,'2. AWARDS'!$C$9:$O$35,11,FALSE)=0),X56*(1+P56)*(1+(R56/9)),IF(AND(E56='2. AWARDS'!I42,O56&gt;N56,O56&gt;Q56,VLOOKUP(F56,'2. AWARDS'!$C$9:$O$35,12,FALSE)&lt;&gt;0),VLOOKUP(F56,'2. AWARDS'!$C$9:$O$35,12,FALSE)*(1+P56)*(1+(R56/9)),IF(AND(E56='2. AWARDS'!I42,O56&gt;N56,O56&gt;Q56,VLOOKUP(F56,'2. AWARDS'!$C$9:$O$35,12,FALSE)=0),X56*(1+P56)*(1+(R56/9)),IF(AND(E56='2. AWARDS'!J42,O56&gt;N56,O56&gt;Q56,VLOOKUP(F56,'2. AWARDS'!$C$9:$O$35,13,FALSE)&lt;&gt;0),VLOOKUP(F56,'2. AWARDS'!$C$9:$O$35,13,FALSE)*(1+P56)*(1+(R56/9)),IF(AND(E56='2. AWARDS'!J42,O56&gt;N56,O56&gt;Q56,VLOOKUP(F56,'2. AWARDS'!$C$9:$O$35,13,FALSE)=0),X56*(1+P56)*(1+(R56/9)),IF(AND(O56&lt;N56,O56&gt;Q56),X56*(1+P56)*(1+(R56/9)),IF(AND(E56='2. AWARDS'!F42,O56=MAX(N56,Q56),VLOOKUP(F56,'2. AWARDS'!$C$9:$O$35,9,FALSE)&lt;&gt;0),VLOOKUP(F56,'2. AWARDS'!$C$9:$O$35,9,FALSE)*(1+P56)*(1+(R56/9)),IF(AND(E56='2. AWARDS'!F42,O56=MAX(N56,Q56),VLOOKUP(F56,'2. AWARDS'!$C$9:$O$35,9,FALSE)=0),X56*(1+P56)*(1+(R56/9)),IF(AND(E56='2. AWARDS'!G42,O56=MAX(N56,Q56),VLOOKUP(F56,'2. AWARDS'!$C$9:$O$35,10,FALSE)&lt;&gt;0),VLOOKUP(F56,'2. AWARDS'!$C$9:$O$35,10,FALSE)*(1+P56)*(1+(R56/9)),IF(AND(E56='2. AWARDS'!G42,O56=MAX(N56,Q56),VLOOKUP(F56,'2. AWARDS'!$C$9:$O$35,10,FALSE)=0),X56*(1+P56)*(1+(R56/9)),IF(AND(E56='2. AWARDS'!H42,O56=MAX(N56,Q56),VLOOKUP(F56,'2. AWARDS'!$C$9:$O$35,11,FALSE)&lt;&gt;0),VLOOKUP(F56,'2. AWARDS'!$C$9:$O$35,11,FALSE)*(1+P56)*(1+(R56/9)),IF(AND(E56='2. AWARDS'!H42,O56=MAX(N56,Q56),VLOOKUP(F56,'2. AWARDS'!$C$9:$O$35,11,FALSE)=0),X56*(1+P56)*(1+(R56/9)),IF(AND(E56='2. AWARDS'!I42,O56=MAX(N56,Q56),VLOOKUP(F56,'2. AWARDS'!$C$9:$O$35,12,FALSE)&lt;&gt;0),VLOOKUP(F56,'2. AWARDS'!$C$9:$O$35,12,FALSE)*(1+P56)*(1+(R56/9)),IF(AND(E56='2. AWARDS'!I42,O56=MAX(N56,Q56),VLOOKUP(F56,'2. AWARDS'!$C$9:$O$35,12,FALSE)=0),X56*(1+P56)*(1+(R56/9)),IF(AND(E56='2. AWARDS'!J42,O56=MAX(N56,Q56),VLOOKUP(F56,'2. AWARDS'!$C$9:$O$35,13,FALSE)&lt;&gt;0),VLOOKUP(F56,'2. AWARDS'!$C$9:$O$35,13,FALSE)*(1+P56)*(1+(R56/9)),IF(AND(E56='2. AWARDS'!J42,O56=MAX(N56,Q56),VLOOKUP(F56,'2. AWARDS'!$C$9:$O$35,13,FALSE)=0),X56*(1+P56)*(1+(R56/9)),IF(AND(O56&lt;N56,O56&lt;Q56),X56*(1+P56),IF(AND(O56=N56,N56&lt;Q56,E56='2. AWARDS'!F42),VLOOKUP(F56,'2. AWARDS'!$C$9:$O$35,9,FALSE)*(1+P56),IF(AND(O56=N56,N56&lt;Q56,E56='2. AWARDS'!G42),VLOOKUP(F56,'2. AWARDS'!$C$9:$O$35,10,FALSE)*(1+P56),IF(AND(O56=N56,N56&lt;Q56,E56='2. AWARDS'!H42),VLOOKUP(F56,'2. AWARDS'!$C$9:$O$35,11,FALSE)*(1+P56),IF(AND(O56=N56,N56&lt;Q56,E56='2. AWARDS'!I42),VLOOKUP(F56,'2. AWARDS'!$C$9:$O$35,12,FALSE)*(1+P56),IF(AND(O56=N56,N56&lt;Q56,E56='2. AWARDS'!J42),VLOOKUP(F56,'2. AWARDS'!$C$9:$O$35,13,FALSE)*(1+P56),IF(AND(O56=Q56,N56&gt;Q56),X56*(1+P56)*(1+(R56/9)),IF(AND(E56='2. AWARDS'!F42,O56&gt;N56,O56&lt;Q56,VLOOKUP(F56,'2. AWARDS'!$C$9:$O$35,9,FALSE)&lt;&gt;0),VLOOKUP(F56,'2. AWARDS'!$C$9:$O$35,9,FALSE)*(1+P56),IF(AND(E56='2. AWARDS'!G42,O56&gt;N56,O56&lt;Q56,VLOOKUP(F56,'2. AWARDS'!$C$9:$O$35,10,FALSE)&lt;&gt;0),VLOOKUP(F56,'2. AWARDS'!$C$9:$O$35,10,FALSE)*(1+P56),IF(AND(E56='2. AWARDS'!H42,O56&gt;N56,O56&lt;Q56,VLOOKUP(F56,'2. AWARDS'!$C$9:$O$35,11,FALSE)&lt;&gt;0),VLOOKUP(F56,'2. AWARDS'!$C$9:$O$35,11,FALSE)*(1+P56),IF(AND(E56='2. AWARDS'!I42,O56&gt;N56,O56&lt;Q56,VLOOKUP(F56,'2. AWARDS'!$C$9:$O$35,12,FALSE)&lt;&gt;0),VLOOKUP(F56,'2. AWARDS'!$C$9:$O$35,12,FALSE)*(1+P56),IF(AND(E56='2. AWARDS'!J42,O56&gt;N56,O56&lt;Q56,VLOOKUP(F56,'2. AWARDS'!$C$9:$O$35,13,FALSE)&lt;&gt;0),VLOOKUP(F56,'2. AWARDS'!$C$9:$O$35,13,FALSE)*(1+P56),X56*(1+P56))))))))))))))))))))))))))))))))))</f>
        <v>#N/A</v>
      </c>
      <c r="AA56" s="816" t="e">
        <f t="shared" si="64"/>
        <v>#VALUE!</v>
      </c>
      <c r="AB56" s="684"/>
      <c r="AC56" s="776"/>
      <c r="AD56" s="776"/>
      <c r="AE56" s="779"/>
      <c r="AF56" s="1127">
        <f t="shared" si="59"/>
        <v>0</v>
      </c>
      <c r="AG56" s="781" t="e">
        <f>HLOOKUP(E56,'2. AWARDS'!$F$7:$J$40,32,FALSE)/5*HLOOKUP(E56,'2. AWARDS'!$F$7:$J$40,31,FALSE)*MAX(W56:AA56)*M56*HLOOKUP(E56,'2. AWARDS'!$F$7:$J$40,34,FALSE)*(L56/(38*2))</f>
        <v>#N/A</v>
      </c>
      <c r="AH56" s="786" t="e">
        <f>((HLOOKUP(E56,'2. AWARDS'!$F$7:$J$42,36,FALSE)/HLOOKUP(E56,'2. AWARDS'!$F$7:$J$42,35,FALSE)*HLOOKUP(E56,'2. AWARDS'!$F$7:$J$45,39,FALSE))/(HLOOKUP(E56,'2. AWARDS'!$F$7:$J$45,31,FALSE)*2)*L56*M56*HLOOKUP(E56,'2. AWARDS'!$F$7:$J$45,31,FALSE)*MAX(W56:AA56))</f>
        <v>#N/A</v>
      </c>
      <c r="AI56" s="682"/>
      <c r="AJ56" s="804"/>
      <c r="AK56" s="821"/>
      <c r="AL56" s="821"/>
      <c r="AM56" s="823"/>
      <c r="AN56" s="1012"/>
      <c r="AO56" s="843">
        <f>IF(AJ56="YES",HLOOKUP(E56,'2. AWARDS'!$F$7:$J$38,32,FALSE)/5*HLOOKUP(E56,'2. AWARDS'!$F$7:$J$37,31,FALSE)*L56/(HLOOKUP(E56,'2. AWARDS'!$F$7:$J$37,31,FALSE)*2)*M56*MAX(W56:AA56)*(1+HLOOKUP(E56,'2. AWARDS'!$F$7:$J$43,37,FALSE))*(1-AM56),0)</f>
        <v>0</v>
      </c>
      <c r="AP56" s="843">
        <f>IF(AK56="YES",HLOOKUP(E56,'2. AWARDS'!$F$7:$J$39,33,FALSE)/5*HLOOKUP(E56,'2. AWARDS'!$F$7:$J$37,31,FALSE)*L56/(HLOOKUP(E56,'2. AWARDS'!$F$7:$J$37,31,FALSE)*2)*M56*MAX(W56:AA56)*(1+HLOOKUP(E56,'2. AWARDS'!$F$7:$J$43,37,FALSE))*(1-AM56),0)</f>
        <v>0</v>
      </c>
      <c r="AQ56" s="843">
        <f>IF(AL56="YES",HLOOKUP(E56,'2. AWARDS'!$F$7:$J$47,40,FALSE)/5*HLOOKUP(E56,'2. AWARDS'!$F$7:$J$37,31,FALSE)*L56/(HLOOKUP(E56,'2. AWARDS'!$F$7:$J$37,31,FALSE)*2)*M56*MAX(W56:AA56)*(1+HLOOKUP(E56,'2. AWARDS'!$F$7:$J$43,37,FALSE))*(1-AM56),0)</f>
        <v>0</v>
      </c>
      <c r="AR56" s="844" t="e">
        <f>(IF(AJ56="YES",HLOOKUP(E56,'2. AWARDS'!$F$7:$J$39,32,FALSE),0)+IF(AK56="YES",HLOOKUP(E56,'2. AWARDS'!$F$7:$J$39,33,FALSE),0)+IF(AL56="YES",HLOOKUP(E56,'2. AWARDS'!$F$7:$J$47,40,FALSE),0))/5*(HLOOKUP(E56,'2. AWARDS'!$F$7:$J$39,31,FALSE)*2)*AM56*AN56</f>
        <v>#N/A</v>
      </c>
      <c r="AS56" s="684"/>
      <c r="AT56" s="802">
        <v>0.04</v>
      </c>
      <c r="AU56" s="822">
        <f>'1. KEY DATA'!J$30</f>
        <v>0.09</v>
      </c>
      <c r="AV56" s="502"/>
      <c r="AW56" s="478">
        <f t="shared" si="60"/>
        <v>0</v>
      </c>
      <c r="AX56" s="502"/>
      <c r="AY56" s="998"/>
      <c r="AZ56" s="999"/>
      <c r="BA56" s="999"/>
      <c r="BB56" s="999"/>
      <c r="BC56" s="999"/>
      <c r="BD56" s="999"/>
      <c r="BE56" s="999"/>
      <c r="BF56" s="999"/>
      <c r="BG56" s="999"/>
      <c r="BH56" s="999"/>
      <c r="BI56" s="1020"/>
      <c r="BJ56" s="1020"/>
      <c r="BK56" s="1020"/>
      <c r="BL56" s="1021"/>
      <c r="BM56" s="301">
        <f t="shared" si="61"/>
        <v>1</v>
      </c>
      <c r="BO56" s="389" t="str">
        <f t="shared" si="65"/>
        <v>-</v>
      </c>
      <c r="BP56" s="384" t="str">
        <f t="shared" si="66"/>
        <v>-</v>
      </c>
      <c r="BQ56" s="384" t="str">
        <f t="shared" si="67"/>
        <v>-</v>
      </c>
      <c r="BR56" s="384" t="str">
        <f t="shared" si="68"/>
        <v>-</v>
      </c>
      <c r="BS56" s="384" t="str">
        <f t="shared" si="69"/>
        <v>-</v>
      </c>
      <c r="BT56" s="384" t="str">
        <f t="shared" si="70"/>
        <v>-</v>
      </c>
      <c r="BU56" s="384" t="str">
        <f t="shared" si="71"/>
        <v>-</v>
      </c>
      <c r="BV56" s="384" t="str">
        <f t="shared" si="72"/>
        <v>-</v>
      </c>
      <c r="BW56" s="384" t="str">
        <f t="shared" si="73"/>
        <v>-</v>
      </c>
      <c r="BX56" s="384" t="str">
        <f t="shared" si="74"/>
        <v>-</v>
      </c>
      <c r="BY56" s="385" t="str">
        <f t="shared" si="75"/>
        <v>-</v>
      </c>
      <c r="BZ56" s="385" t="str">
        <f t="shared" si="76"/>
        <v>-</v>
      </c>
      <c r="CA56" s="385" t="str">
        <f t="shared" si="77"/>
        <v>-</v>
      </c>
      <c r="CB56" s="390" t="str">
        <f t="shared" si="78"/>
        <v>-</v>
      </c>
    </row>
    <row r="57" spans="1:80">
      <c r="B57" s="231"/>
      <c r="C57" s="214"/>
      <c r="D57" s="699">
        <f t="shared" si="63"/>
        <v>0</v>
      </c>
      <c r="E57" s="626"/>
      <c r="F57" s="903"/>
      <c r="G57" s="625"/>
      <c r="H57" s="765"/>
      <c r="I57" s="1118"/>
      <c r="J57" s="1123"/>
      <c r="K57" s="1124"/>
      <c r="L57" s="1109"/>
      <c r="M57" s="689"/>
      <c r="N57" s="634"/>
      <c r="O57" s="634"/>
      <c r="P57" s="638">
        <f t="shared" si="79"/>
        <v>0.03</v>
      </c>
      <c r="Q57" s="634"/>
      <c r="R57" s="812" t="str">
        <f t="shared" si="57"/>
        <v>-</v>
      </c>
      <c r="S57" s="649"/>
      <c r="T57" s="768"/>
      <c r="U57" s="834"/>
      <c r="V57" s="772"/>
      <c r="W57" s="817">
        <f t="shared" si="58"/>
        <v>0</v>
      </c>
      <c r="X57" s="817">
        <f>IF(OR(E57=0,F57=0),0,IF(E57='2. AWARDS'!F$7,VLOOKUP(F57,'2. AWARDS'!$C$9:$F$35,4,FALSE),IF(E57='2. AWARDS'!G$7,VLOOKUP(F57,'2. AWARDS'!$C$9:$G$35,5,FALSE),IF(E57='2. AWARDS'!H$7,VLOOKUP(F57,'2. AWARDS'!$C$9:$H$35,6,FALSE),IF(E57='2. AWARDS'!I$7,VLOOKUP(F57,'2. AWARDS'!$C$9:$I$35,7,FALSE),VLOOKUP(F57,'2. AWARDS'!$C$9:$J$35,8,FALSE))))))</f>
        <v>0</v>
      </c>
      <c r="Y57" s="815">
        <f>IF(OR(E57=0,F57=0),0,IF(AND(N57=0,E57='2. AWARDS'!F$7,VLOOKUP(F57,'2. AWARDS'!$C$9:$O$35,9,FALSE)&lt;&gt;0),"date missing",IF(AND(N57=0,E57='2. AWARDS'!G$7,VLOOKUP(F57,'2. AWARDS'!$C$9:$O$35,10,FALSE)&lt;&gt;0),"date missing",IF(AND(N57=0,E57='2. AWARDS'!H$7,VLOOKUP(F57,'2. AWARDS'!$C$9:$O$35,11,FALSE)&lt;&gt;0),"date missing",IF(AND(N57=0,E57='2. AWARDS'!I$7,VLOOKUP(F57,'2. AWARDS'!$C$9:$O$35,12,FALSE)&lt;&gt;0),"date missing",IF(AND(N57=0,E57='2. AWARDS'!J$7,VLOOKUP(F57,'2. AWARDS'!$C$9:$O$35,13,FALSE)&lt;&gt;0),"date missing",IF(N57=0,0,IF(OR(N57=MIN(O57,Q57),AND(N57&lt;O57,N57&lt;Q57,N57&gt;0)),IF(E57='2. AWARDS'!F$7,VLOOKUP(F57,'2. AWARDS'!$C$9:$O$35,9,FALSE),IF(E57='2. AWARDS'!G$7,VLOOKUP(F57,'2. AWARDS'!$C$9:$O$35,10,FALSE),IF(E57='2. AWARDS'!H$7,VLOOKUP(F57,'2. AWARDS'!$C$9:$O$35,11,FALSE),IF(E57='2. AWARDS'!I$7,VLOOKUP(F57,'2. AWARDS'!$C$9:$O$35,12,FALSE),IF(E57='2. AWARDS'!J$7,VLOOKUP(F57,'2. AWARDS'!$C$9:$O$35,13,FALSE)))))),IF(AND(N57&gt;O57,N57&lt;Q57),IF(E57='2. AWARDS'!F$7,(1+P57)*VLOOKUP(F57,'2. AWARDS'!$C$9:$O$35,9,FALSE),IF(E57='2. AWARDS'!G$7,(1+P57)*VLOOKUP(F57,'2. AWARDS'!$C$9:$O$35,10,FALSE),IF(E57='2. AWARDS'!H$7,(1+P57)*VLOOKUP(F57,'2. AWARDS'!$C$9:$O$35,11,FALSE),IF(E57='2. AWARDS'!I$7,(1+P57)*VLOOKUP(F57,'2. AWARDS'!$C$9:$O$35,12,FALSE),IF(E57='2. AWARDS'!J$7,(1+P57)*VLOOKUP(F57,'2. AWARDS'!$C$9:$O$35,13,FALSE)))))),IF(AND(N57&lt;O57,N57&gt;Q57),IF(E57='2. AWARDS'!F$7,(1+(R57/9))*VLOOKUP(F57,'2. AWARDS'!$C$9:$O$35,9,FALSE),IF(E57='2. AWARDS'!G$7,(1+(R57/9))*VLOOKUP(F57,'2. AWARDS'!$C$9:$O$35,10,FALSE),IF(E57='2. AWARDS'!H$7,(1+(R57/9))*VLOOKUP(F57,'2. AWARDS'!$C$9:$O$35,11,FALSE),IF(E57='2. AWARDS'!I$7,(1+(R57/9))*VLOOKUP(F57,'2. AWARDS'!$C$9:$O$35,12,FALSE),IF(E57='2. AWARDS'!J$7,(1+(R57/9))*VLOOKUP(F57,'2. AWARDS'!$C$9:$O$35,13,FALSE)))))),IF(OR(N57=MAX(O57,Q57),AND(N57&gt;O57,N57&gt;Q57)),IF(E57='2. AWARDS'!F$7,((1+(R57/9))*(1+P57))*VLOOKUP(F57,'2. AWARDS'!$C$9:$O$35,9,FALSE),IF(E57='2. AWARDS'!G$7,((1+(R57/9))*(1+P57))*VLOOKUP(F57,'2. AWARDS'!$C$9:$O$35,10,FALSE),IF(E57='2. AWARDS'!H$7,((1+(R57/9))*(1+P57))*VLOOKUP(F57,'2. AWARDS'!$C$9:$O$35,11,FALSE),IF(E57='2. AWARDS'!I$7,((1+(R57/9))*(1+P57))*VLOOKUP(F57,'2. AWARDS'!$C$9:$O$35,12,FALSE),IF(E57='2. AWARDS'!J$7,((1+(R57/9))*(1+P57))*VLOOKUP(F57,'2. AWARDS'!$C$9:$O$35,13,FALSE)))))),"?")))))))))))</f>
        <v>0</v>
      </c>
      <c r="Z57" s="814" t="e">
        <f>IF(AND(E57='2. AWARDS'!F43,O57&gt;N57,O57&gt;Q57,VLOOKUP(F57,'2. AWARDS'!$C$9:$O$35,9,FALSE)&lt;&gt;0),VLOOKUP(F57,'2. AWARDS'!$C$9:$O$35,9,FALSE)*(1+P57)*(1+(R57/9)),IF(AND(E57='2. AWARDS'!F43,O57&gt;N57,O57&gt;Q57,VLOOKUP(F57,'2. AWARDS'!$C$9:$O$35,9,FALSE)=0),X57*(1+P57)*(1+(R57/9)),IF(AND(E57='2. AWARDS'!G43,O57&gt;N57,O57&gt;Q57,VLOOKUP(F57,'2. AWARDS'!$C$9:$O$35,10,FALSE)&lt;&gt;0),VLOOKUP(F57,'2. AWARDS'!$C$9:$O$35,10,FALSE)*(1+P57)*(1+(R57/9)),IF(AND(E57='2. AWARDS'!G43,O57&gt;N57,O57&gt;Q57,VLOOKUP(F57,'2. AWARDS'!$C$9:$O$35,10,FALSE)=0),X57*(1+P57)*(1+(R57/9)),IF(AND(E57='2. AWARDS'!H43,O57&gt;N57,O57&gt;Q57,VLOOKUP(F57,'2. AWARDS'!$C$9:$O$35,11,FALSE)&lt;&gt;0),VLOOKUP(F57,'2. AWARDS'!$C$9:$O$35,11,FALSE)*(1+P57)*(1+(R57/9)),IF(AND(E57='2. AWARDS'!H43,O57&gt;N57,O57&gt;Q57,VLOOKUP(F57,'2. AWARDS'!$C$9:$O$35,11,FALSE)=0),X57*(1+P57)*(1+(R57/9)),IF(AND(E57='2. AWARDS'!I43,O57&gt;N57,O57&gt;Q57,VLOOKUP(F57,'2. AWARDS'!$C$9:$O$35,12,FALSE)&lt;&gt;0),VLOOKUP(F57,'2. AWARDS'!$C$9:$O$35,12,FALSE)*(1+P57)*(1+(R57/9)),IF(AND(E57='2. AWARDS'!I43,O57&gt;N57,O57&gt;Q57,VLOOKUP(F57,'2. AWARDS'!$C$9:$O$35,12,FALSE)=0),X57*(1+P57)*(1+(R57/9)),IF(AND(E57='2. AWARDS'!J43,O57&gt;N57,O57&gt;Q57,VLOOKUP(F57,'2. AWARDS'!$C$9:$O$35,13,FALSE)&lt;&gt;0),VLOOKUP(F57,'2. AWARDS'!$C$9:$O$35,13,FALSE)*(1+P57)*(1+(R57/9)),IF(AND(E57='2. AWARDS'!J43,O57&gt;N57,O57&gt;Q57,VLOOKUP(F57,'2. AWARDS'!$C$9:$O$35,13,FALSE)=0),X57*(1+P57)*(1+(R57/9)),IF(AND(O57&lt;N57,O57&gt;Q57),X57*(1+P57)*(1+(R57/9)),IF(AND(E57='2. AWARDS'!F43,O57=MAX(N57,Q57),VLOOKUP(F57,'2. AWARDS'!$C$9:$O$35,9,FALSE)&lt;&gt;0),VLOOKUP(F57,'2. AWARDS'!$C$9:$O$35,9,FALSE)*(1+P57)*(1+(R57/9)),IF(AND(E57='2. AWARDS'!F43,O57=MAX(N57,Q57),VLOOKUP(F57,'2. AWARDS'!$C$9:$O$35,9,FALSE)=0),X57*(1+P57)*(1+(R57/9)),IF(AND(E57='2. AWARDS'!G43,O57=MAX(N57,Q57),VLOOKUP(F57,'2. AWARDS'!$C$9:$O$35,10,FALSE)&lt;&gt;0),VLOOKUP(F57,'2. AWARDS'!$C$9:$O$35,10,FALSE)*(1+P57)*(1+(R57/9)),IF(AND(E57='2. AWARDS'!G43,O57=MAX(N57,Q57),VLOOKUP(F57,'2. AWARDS'!$C$9:$O$35,10,FALSE)=0),X57*(1+P57)*(1+(R57/9)),IF(AND(E57='2. AWARDS'!H43,O57=MAX(N57,Q57),VLOOKUP(F57,'2. AWARDS'!$C$9:$O$35,11,FALSE)&lt;&gt;0),VLOOKUP(F57,'2. AWARDS'!$C$9:$O$35,11,FALSE)*(1+P57)*(1+(R57/9)),IF(AND(E57='2. AWARDS'!H43,O57=MAX(N57,Q57),VLOOKUP(F57,'2. AWARDS'!$C$9:$O$35,11,FALSE)=0),X57*(1+P57)*(1+(R57/9)),IF(AND(E57='2. AWARDS'!I43,O57=MAX(N57,Q57),VLOOKUP(F57,'2. AWARDS'!$C$9:$O$35,12,FALSE)&lt;&gt;0),VLOOKUP(F57,'2. AWARDS'!$C$9:$O$35,12,FALSE)*(1+P57)*(1+(R57/9)),IF(AND(E57='2. AWARDS'!I43,O57=MAX(N57,Q57),VLOOKUP(F57,'2. AWARDS'!$C$9:$O$35,12,FALSE)=0),X57*(1+P57)*(1+(R57/9)),IF(AND(E57='2. AWARDS'!J43,O57=MAX(N57,Q57),VLOOKUP(F57,'2. AWARDS'!$C$9:$O$35,13,FALSE)&lt;&gt;0),VLOOKUP(F57,'2. AWARDS'!$C$9:$O$35,13,FALSE)*(1+P57)*(1+(R57/9)),IF(AND(E57='2. AWARDS'!J43,O57=MAX(N57,Q57),VLOOKUP(F57,'2. AWARDS'!$C$9:$O$35,13,FALSE)=0),X57*(1+P57)*(1+(R57/9)),IF(AND(O57&lt;N57,O57&lt;Q57),X57*(1+P57),IF(AND(O57=N57,N57&lt;Q57,E57='2. AWARDS'!F43),VLOOKUP(F57,'2. AWARDS'!$C$9:$O$35,9,FALSE)*(1+P57),IF(AND(O57=N57,N57&lt;Q57,E57='2. AWARDS'!G43),VLOOKUP(F57,'2. AWARDS'!$C$9:$O$35,10,FALSE)*(1+P57),IF(AND(O57=N57,N57&lt;Q57,E57='2. AWARDS'!H43),VLOOKUP(F57,'2. AWARDS'!$C$9:$O$35,11,FALSE)*(1+P57),IF(AND(O57=N57,N57&lt;Q57,E57='2. AWARDS'!I43),VLOOKUP(F57,'2. AWARDS'!$C$9:$O$35,12,FALSE)*(1+P57),IF(AND(O57=N57,N57&lt;Q57,E57='2. AWARDS'!J43),VLOOKUP(F57,'2. AWARDS'!$C$9:$O$35,13,FALSE)*(1+P57),IF(AND(O57=Q57,N57&gt;Q57),X57*(1+P57)*(1+(R57/9)),IF(AND(E57='2. AWARDS'!F43,O57&gt;N57,O57&lt;Q57,VLOOKUP(F57,'2. AWARDS'!$C$9:$O$35,9,FALSE)&lt;&gt;0),VLOOKUP(F57,'2. AWARDS'!$C$9:$O$35,9,FALSE)*(1+P57),IF(AND(E57='2. AWARDS'!G43,O57&gt;N57,O57&lt;Q57,VLOOKUP(F57,'2. AWARDS'!$C$9:$O$35,10,FALSE)&lt;&gt;0),VLOOKUP(F57,'2. AWARDS'!$C$9:$O$35,10,FALSE)*(1+P57),IF(AND(E57='2. AWARDS'!H43,O57&gt;N57,O57&lt;Q57,VLOOKUP(F57,'2. AWARDS'!$C$9:$O$35,11,FALSE)&lt;&gt;0),VLOOKUP(F57,'2. AWARDS'!$C$9:$O$35,11,FALSE)*(1+P57),IF(AND(E57='2. AWARDS'!I43,O57&gt;N57,O57&lt;Q57,VLOOKUP(F57,'2. AWARDS'!$C$9:$O$35,12,FALSE)&lt;&gt;0),VLOOKUP(F57,'2. AWARDS'!$C$9:$O$35,12,FALSE)*(1+P57),IF(AND(E57='2. AWARDS'!J43,O57&gt;N57,O57&lt;Q57,VLOOKUP(F57,'2. AWARDS'!$C$9:$O$35,13,FALSE)&lt;&gt;0),VLOOKUP(F57,'2. AWARDS'!$C$9:$O$35,13,FALSE)*(1+P57),X57*(1+P57))))))))))))))))))))))))))))))))))</f>
        <v>#N/A</v>
      </c>
      <c r="AA57" s="816" t="e">
        <f t="shared" si="64"/>
        <v>#VALUE!</v>
      </c>
      <c r="AB57" s="684"/>
      <c r="AC57" s="776"/>
      <c r="AD57" s="776"/>
      <c r="AE57" s="779"/>
      <c r="AF57" s="1127">
        <f t="shared" si="59"/>
        <v>0</v>
      </c>
      <c r="AG57" s="781" t="e">
        <f>HLOOKUP(E57,'2. AWARDS'!$F$7:$J$40,32,FALSE)/5*HLOOKUP(E57,'2. AWARDS'!$F$7:$J$40,31,FALSE)*MAX(W57:AA57)*M57*HLOOKUP(E57,'2. AWARDS'!$F$7:$J$40,34,FALSE)*(L57/(38*2))</f>
        <v>#N/A</v>
      </c>
      <c r="AH57" s="786" t="e">
        <f>((HLOOKUP(E57,'2. AWARDS'!$F$7:$J$42,36,FALSE)/HLOOKUP(E57,'2. AWARDS'!$F$7:$J$42,35,FALSE)*HLOOKUP(E57,'2. AWARDS'!$F$7:$J$45,39,FALSE))/(HLOOKUP(E57,'2. AWARDS'!$F$7:$J$45,31,FALSE)*2)*L57*M57*HLOOKUP(E57,'2. AWARDS'!$F$7:$J$45,31,FALSE)*MAX(W57:AA57))</f>
        <v>#N/A</v>
      </c>
      <c r="AI57" s="682"/>
      <c r="AJ57" s="804"/>
      <c r="AK57" s="821"/>
      <c r="AL57" s="821"/>
      <c r="AM57" s="823"/>
      <c r="AN57" s="1012"/>
      <c r="AO57" s="843">
        <f>IF(AJ57="YES",HLOOKUP(E57,'2. AWARDS'!$F$7:$J$38,32,FALSE)/5*HLOOKUP(E57,'2. AWARDS'!$F$7:$J$37,31,FALSE)*L57/(HLOOKUP(E57,'2. AWARDS'!$F$7:$J$37,31,FALSE)*2)*M57*MAX(W57:AA57)*(1+HLOOKUP(E57,'2. AWARDS'!$F$7:$J$43,37,FALSE))*(1-AM57),0)</f>
        <v>0</v>
      </c>
      <c r="AP57" s="843">
        <f>IF(AK57="YES",HLOOKUP(E57,'2. AWARDS'!$F$7:$J$39,33,FALSE)/5*HLOOKUP(E57,'2. AWARDS'!$F$7:$J$37,31,FALSE)*L57/(HLOOKUP(E57,'2. AWARDS'!$F$7:$J$37,31,FALSE)*2)*M57*MAX(W57:AA57)*(1+HLOOKUP(E57,'2. AWARDS'!$F$7:$J$43,37,FALSE))*(1-AM57),0)</f>
        <v>0</v>
      </c>
      <c r="AQ57" s="843">
        <f>IF(AL57="YES",HLOOKUP(E57,'2. AWARDS'!$F$7:$J$47,40,FALSE)/5*HLOOKUP(E57,'2. AWARDS'!$F$7:$J$37,31,FALSE)*L57/(HLOOKUP(E57,'2. AWARDS'!$F$7:$J$37,31,FALSE)*2)*M57*MAX(W57:AA57)*(1+HLOOKUP(E57,'2. AWARDS'!$F$7:$J$43,37,FALSE))*(1-AM57),0)</f>
        <v>0</v>
      </c>
      <c r="AR57" s="844" t="e">
        <f>(IF(AJ57="YES",HLOOKUP(E57,'2. AWARDS'!$F$7:$J$39,32,FALSE),0)+IF(AK57="YES",HLOOKUP(E57,'2. AWARDS'!$F$7:$J$39,33,FALSE),0)+IF(AL57="YES",HLOOKUP(E57,'2. AWARDS'!$F$7:$J$47,40,FALSE),0))/5*(HLOOKUP(E57,'2. AWARDS'!$F$7:$J$39,31,FALSE)*2)*AM57*AN57</f>
        <v>#N/A</v>
      </c>
      <c r="AS57" s="684"/>
      <c r="AT57" s="802">
        <v>0.04</v>
      </c>
      <c r="AU57" s="822">
        <f>'1. KEY DATA'!J$30</f>
        <v>0.09</v>
      </c>
      <c r="AV57" s="502"/>
      <c r="AW57" s="478">
        <f t="shared" si="60"/>
        <v>0</v>
      </c>
      <c r="AX57" s="502"/>
      <c r="AY57" s="998"/>
      <c r="AZ57" s="999"/>
      <c r="BA57" s="999"/>
      <c r="BB57" s="999"/>
      <c r="BC57" s="999"/>
      <c r="BD57" s="999"/>
      <c r="BE57" s="999"/>
      <c r="BF57" s="999"/>
      <c r="BG57" s="999"/>
      <c r="BH57" s="999"/>
      <c r="BI57" s="1020"/>
      <c r="BJ57" s="1020"/>
      <c r="BK57" s="1020"/>
      <c r="BL57" s="1021"/>
      <c r="BM57" s="301">
        <f t="shared" si="61"/>
        <v>1</v>
      </c>
      <c r="BO57" s="389" t="str">
        <f t="shared" si="65"/>
        <v>-</v>
      </c>
      <c r="BP57" s="384" t="str">
        <f t="shared" si="66"/>
        <v>-</v>
      </c>
      <c r="BQ57" s="384" t="str">
        <f t="shared" si="67"/>
        <v>-</v>
      </c>
      <c r="BR57" s="384" t="str">
        <f t="shared" si="68"/>
        <v>-</v>
      </c>
      <c r="BS57" s="384" t="str">
        <f t="shared" si="69"/>
        <v>-</v>
      </c>
      <c r="BT57" s="384" t="str">
        <f t="shared" si="70"/>
        <v>-</v>
      </c>
      <c r="BU57" s="384" t="str">
        <f t="shared" si="71"/>
        <v>-</v>
      </c>
      <c r="BV57" s="384" t="str">
        <f t="shared" si="72"/>
        <v>-</v>
      </c>
      <c r="BW57" s="384" t="str">
        <f t="shared" si="73"/>
        <v>-</v>
      </c>
      <c r="BX57" s="384" t="str">
        <f t="shared" si="74"/>
        <v>-</v>
      </c>
      <c r="BY57" s="385" t="str">
        <f t="shared" si="75"/>
        <v>-</v>
      </c>
      <c r="BZ57" s="385" t="str">
        <f t="shared" si="76"/>
        <v>-</v>
      </c>
      <c r="CA57" s="385" t="str">
        <f t="shared" si="77"/>
        <v>-</v>
      </c>
      <c r="CB57" s="390" t="str">
        <f t="shared" si="78"/>
        <v>-</v>
      </c>
    </row>
    <row r="58" spans="1:80">
      <c r="B58" s="231"/>
      <c r="C58" s="214"/>
      <c r="D58" s="699">
        <f t="shared" si="63"/>
        <v>0</v>
      </c>
      <c r="E58" s="626"/>
      <c r="F58" s="903"/>
      <c r="G58" s="625"/>
      <c r="H58" s="765"/>
      <c r="I58" s="1118"/>
      <c r="J58" s="1123"/>
      <c r="K58" s="1124"/>
      <c r="L58" s="1109"/>
      <c r="M58" s="689"/>
      <c r="N58" s="634"/>
      <c r="O58" s="634"/>
      <c r="P58" s="638">
        <f t="shared" si="79"/>
        <v>0.03</v>
      </c>
      <c r="Q58" s="634"/>
      <c r="R58" s="812" t="str">
        <f t="shared" si="57"/>
        <v>-</v>
      </c>
      <c r="S58" s="649"/>
      <c r="T58" s="768"/>
      <c r="U58" s="834"/>
      <c r="V58" s="772"/>
      <c r="W58" s="817">
        <f t="shared" si="58"/>
        <v>0</v>
      </c>
      <c r="X58" s="817">
        <f>IF(OR(E58=0,F58=0),0,IF(E58='2. AWARDS'!F$7,VLOOKUP(F58,'2. AWARDS'!$C$9:$F$35,4,FALSE),IF(E58='2. AWARDS'!G$7,VLOOKUP(F58,'2. AWARDS'!$C$9:$G$35,5,FALSE),IF(E58='2. AWARDS'!H$7,VLOOKUP(F58,'2. AWARDS'!$C$9:$H$35,6,FALSE),IF(E58='2. AWARDS'!I$7,VLOOKUP(F58,'2. AWARDS'!$C$9:$I$35,7,FALSE),VLOOKUP(F58,'2. AWARDS'!$C$9:$J$35,8,FALSE))))))</f>
        <v>0</v>
      </c>
      <c r="Y58" s="815">
        <f>IF(OR(E58=0,F58=0),0,IF(AND(N58=0,E58='2. AWARDS'!F$7,VLOOKUP(F58,'2. AWARDS'!$C$9:$O$35,9,FALSE)&lt;&gt;0),"date missing",IF(AND(N58=0,E58='2. AWARDS'!G$7,VLOOKUP(F58,'2. AWARDS'!$C$9:$O$35,10,FALSE)&lt;&gt;0),"date missing",IF(AND(N58=0,E58='2. AWARDS'!H$7,VLOOKUP(F58,'2. AWARDS'!$C$9:$O$35,11,FALSE)&lt;&gt;0),"date missing",IF(AND(N58=0,E58='2. AWARDS'!I$7,VLOOKUP(F58,'2. AWARDS'!$C$9:$O$35,12,FALSE)&lt;&gt;0),"date missing",IF(AND(N58=0,E58='2. AWARDS'!J$7,VLOOKUP(F58,'2. AWARDS'!$C$9:$O$35,13,FALSE)&lt;&gt;0),"date missing",IF(N58=0,0,IF(OR(N58=MIN(O58,Q58),AND(N58&lt;O58,N58&lt;Q58,N58&gt;0)),IF(E58='2. AWARDS'!F$7,VLOOKUP(F58,'2. AWARDS'!$C$9:$O$35,9,FALSE),IF(E58='2. AWARDS'!G$7,VLOOKUP(F58,'2. AWARDS'!$C$9:$O$35,10,FALSE),IF(E58='2. AWARDS'!H$7,VLOOKUP(F58,'2. AWARDS'!$C$9:$O$35,11,FALSE),IF(E58='2. AWARDS'!I$7,VLOOKUP(F58,'2. AWARDS'!$C$9:$O$35,12,FALSE),IF(E58='2. AWARDS'!J$7,VLOOKUP(F58,'2. AWARDS'!$C$9:$O$35,13,FALSE)))))),IF(AND(N58&gt;O58,N58&lt;Q58),IF(E58='2. AWARDS'!F$7,(1+P58)*VLOOKUP(F58,'2. AWARDS'!$C$9:$O$35,9,FALSE),IF(E58='2. AWARDS'!G$7,(1+P58)*VLOOKUP(F58,'2. AWARDS'!$C$9:$O$35,10,FALSE),IF(E58='2. AWARDS'!H$7,(1+P58)*VLOOKUP(F58,'2. AWARDS'!$C$9:$O$35,11,FALSE),IF(E58='2. AWARDS'!I$7,(1+P58)*VLOOKUP(F58,'2. AWARDS'!$C$9:$O$35,12,FALSE),IF(E58='2. AWARDS'!J$7,(1+P58)*VLOOKUP(F58,'2. AWARDS'!$C$9:$O$35,13,FALSE)))))),IF(AND(N58&lt;O58,N58&gt;Q58),IF(E58='2. AWARDS'!F$7,(1+(R58/9))*VLOOKUP(F58,'2. AWARDS'!$C$9:$O$35,9,FALSE),IF(E58='2. AWARDS'!G$7,(1+(R58/9))*VLOOKUP(F58,'2. AWARDS'!$C$9:$O$35,10,FALSE),IF(E58='2. AWARDS'!H$7,(1+(R58/9))*VLOOKUP(F58,'2. AWARDS'!$C$9:$O$35,11,FALSE),IF(E58='2. AWARDS'!I$7,(1+(R58/9))*VLOOKUP(F58,'2. AWARDS'!$C$9:$O$35,12,FALSE),IF(E58='2. AWARDS'!J$7,(1+(R58/9))*VLOOKUP(F58,'2. AWARDS'!$C$9:$O$35,13,FALSE)))))),IF(OR(N58=MAX(O58,Q58),AND(N58&gt;O58,N58&gt;Q58)),IF(E58='2. AWARDS'!F$7,((1+(R58/9))*(1+P58))*VLOOKUP(F58,'2. AWARDS'!$C$9:$O$35,9,FALSE),IF(E58='2. AWARDS'!G$7,((1+(R58/9))*(1+P58))*VLOOKUP(F58,'2. AWARDS'!$C$9:$O$35,10,FALSE),IF(E58='2. AWARDS'!H$7,((1+(R58/9))*(1+P58))*VLOOKUP(F58,'2. AWARDS'!$C$9:$O$35,11,FALSE),IF(E58='2. AWARDS'!I$7,((1+(R58/9))*(1+P58))*VLOOKUP(F58,'2. AWARDS'!$C$9:$O$35,12,FALSE),IF(E58='2. AWARDS'!J$7,((1+(R58/9))*(1+P58))*VLOOKUP(F58,'2. AWARDS'!$C$9:$O$35,13,FALSE)))))),"?")))))))))))</f>
        <v>0</v>
      </c>
      <c r="Z58" s="814" t="e">
        <f>IF(AND(E58='2. AWARDS'!F44,O58&gt;N58,O58&gt;Q58,VLOOKUP(F58,'2. AWARDS'!$C$9:$O$35,9,FALSE)&lt;&gt;0),VLOOKUP(F58,'2. AWARDS'!$C$9:$O$35,9,FALSE)*(1+P58)*(1+(R58/9)),IF(AND(E58='2. AWARDS'!F44,O58&gt;N58,O58&gt;Q58,VLOOKUP(F58,'2. AWARDS'!$C$9:$O$35,9,FALSE)=0),X58*(1+P58)*(1+(R58/9)),IF(AND(E58='2. AWARDS'!G44,O58&gt;N58,O58&gt;Q58,VLOOKUP(F58,'2. AWARDS'!$C$9:$O$35,10,FALSE)&lt;&gt;0),VLOOKUP(F58,'2. AWARDS'!$C$9:$O$35,10,FALSE)*(1+P58)*(1+(R58/9)),IF(AND(E58='2. AWARDS'!G44,O58&gt;N58,O58&gt;Q58,VLOOKUP(F58,'2. AWARDS'!$C$9:$O$35,10,FALSE)=0),X58*(1+P58)*(1+(R58/9)),IF(AND(E58='2. AWARDS'!H44,O58&gt;N58,O58&gt;Q58,VLOOKUP(F58,'2. AWARDS'!$C$9:$O$35,11,FALSE)&lt;&gt;0),VLOOKUP(F58,'2. AWARDS'!$C$9:$O$35,11,FALSE)*(1+P58)*(1+(R58/9)),IF(AND(E58='2. AWARDS'!H44,O58&gt;N58,O58&gt;Q58,VLOOKUP(F58,'2. AWARDS'!$C$9:$O$35,11,FALSE)=0),X58*(1+P58)*(1+(R58/9)),IF(AND(E58='2. AWARDS'!I44,O58&gt;N58,O58&gt;Q58,VLOOKUP(F58,'2. AWARDS'!$C$9:$O$35,12,FALSE)&lt;&gt;0),VLOOKUP(F58,'2. AWARDS'!$C$9:$O$35,12,FALSE)*(1+P58)*(1+(R58/9)),IF(AND(E58='2. AWARDS'!I44,O58&gt;N58,O58&gt;Q58,VLOOKUP(F58,'2. AWARDS'!$C$9:$O$35,12,FALSE)=0),X58*(1+P58)*(1+(R58/9)),IF(AND(E58='2. AWARDS'!J44,O58&gt;N58,O58&gt;Q58,VLOOKUP(F58,'2. AWARDS'!$C$9:$O$35,13,FALSE)&lt;&gt;0),VLOOKUP(F58,'2. AWARDS'!$C$9:$O$35,13,FALSE)*(1+P58)*(1+(R58/9)),IF(AND(E58='2. AWARDS'!J44,O58&gt;N58,O58&gt;Q58,VLOOKUP(F58,'2. AWARDS'!$C$9:$O$35,13,FALSE)=0),X58*(1+P58)*(1+(R58/9)),IF(AND(O58&lt;N58,O58&gt;Q58),X58*(1+P58)*(1+(R58/9)),IF(AND(E58='2. AWARDS'!F44,O58=MAX(N58,Q58),VLOOKUP(F58,'2. AWARDS'!$C$9:$O$35,9,FALSE)&lt;&gt;0),VLOOKUP(F58,'2. AWARDS'!$C$9:$O$35,9,FALSE)*(1+P58)*(1+(R58/9)),IF(AND(E58='2. AWARDS'!F44,O58=MAX(N58,Q58),VLOOKUP(F58,'2. AWARDS'!$C$9:$O$35,9,FALSE)=0),X58*(1+P58)*(1+(R58/9)),IF(AND(E58='2. AWARDS'!G44,O58=MAX(N58,Q58),VLOOKUP(F58,'2. AWARDS'!$C$9:$O$35,10,FALSE)&lt;&gt;0),VLOOKUP(F58,'2. AWARDS'!$C$9:$O$35,10,FALSE)*(1+P58)*(1+(R58/9)),IF(AND(E58='2. AWARDS'!G44,O58=MAX(N58,Q58),VLOOKUP(F58,'2. AWARDS'!$C$9:$O$35,10,FALSE)=0),X58*(1+P58)*(1+(R58/9)),IF(AND(E58='2. AWARDS'!H44,O58=MAX(N58,Q58),VLOOKUP(F58,'2. AWARDS'!$C$9:$O$35,11,FALSE)&lt;&gt;0),VLOOKUP(F58,'2. AWARDS'!$C$9:$O$35,11,FALSE)*(1+P58)*(1+(R58/9)),IF(AND(E58='2. AWARDS'!H44,O58=MAX(N58,Q58),VLOOKUP(F58,'2. AWARDS'!$C$9:$O$35,11,FALSE)=0),X58*(1+P58)*(1+(R58/9)),IF(AND(E58='2. AWARDS'!I44,O58=MAX(N58,Q58),VLOOKUP(F58,'2. AWARDS'!$C$9:$O$35,12,FALSE)&lt;&gt;0),VLOOKUP(F58,'2. AWARDS'!$C$9:$O$35,12,FALSE)*(1+P58)*(1+(R58/9)),IF(AND(E58='2. AWARDS'!I44,O58=MAX(N58,Q58),VLOOKUP(F58,'2. AWARDS'!$C$9:$O$35,12,FALSE)=0),X58*(1+P58)*(1+(R58/9)),IF(AND(E58='2. AWARDS'!J44,O58=MAX(N58,Q58),VLOOKUP(F58,'2. AWARDS'!$C$9:$O$35,13,FALSE)&lt;&gt;0),VLOOKUP(F58,'2. AWARDS'!$C$9:$O$35,13,FALSE)*(1+P58)*(1+(R58/9)),IF(AND(E58='2. AWARDS'!J44,O58=MAX(N58,Q58),VLOOKUP(F58,'2. AWARDS'!$C$9:$O$35,13,FALSE)=0),X58*(1+P58)*(1+(R58/9)),IF(AND(O58&lt;N58,O58&lt;Q58),X58*(1+P58),IF(AND(O58=N58,N58&lt;Q58,E58='2. AWARDS'!F44),VLOOKUP(F58,'2. AWARDS'!$C$9:$O$35,9,FALSE)*(1+P58),IF(AND(O58=N58,N58&lt;Q58,E58='2. AWARDS'!G44),VLOOKUP(F58,'2. AWARDS'!$C$9:$O$35,10,FALSE)*(1+P58),IF(AND(O58=N58,N58&lt;Q58,E58='2. AWARDS'!H44),VLOOKUP(F58,'2. AWARDS'!$C$9:$O$35,11,FALSE)*(1+P58),IF(AND(O58=N58,N58&lt;Q58,E58='2. AWARDS'!I44),VLOOKUP(F58,'2. AWARDS'!$C$9:$O$35,12,FALSE)*(1+P58),IF(AND(O58=N58,N58&lt;Q58,E58='2. AWARDS'!J44),VLOOKUP(F58,'2. AWARDS'!$C$9:$O$35,13,FALSE)*(1+P58),IF(AND(O58=Q58,N58&gt;Q58),X58*(1+P58)*(1+(R58/9)),IF(AND(E58='2. AWARDS'!F44,O58&gt;N58,O58&lt;Q58,VLOOKUP(F58,'2. AWARDS'!$C$9:$O$35,9,FALSE)&lt;&gt;0),VLOOKUP(F58,'2. AWARDS'!$C$9:$O$35,9,FALSE)*(1+P58),IF(AND(E58='2. AWARDS'!G44,O58&gt;N58,O58&lt;Q58,VLOOKUP(F58,'2. AWARDS'!$C$9:$O$35,10,FALSE)&lt;&gt;0),VLOOKUP(F58,'2. AWARDS'!$C$9:$O$35,10,FALSE)*(1+P58),IF(AND(E58='2. AWARDS'!H44,O58&gt;N58,O58&lt;Q58,VLOOKUP(F58,'2. AWARDS'!$C$9:$O$35,11,FALSE)&lt;&gt;0),VLOOKUP(F58,'2. AWARDS'!$C$9:$O$35,11,FALSE)*(1+P58),IF(AND(E58='2. AWARDS'!I44,O58&gt;N58,O58&lt;Q58,VLOOKUP(F58,'2. AWARDS'!$C$9:$O$35,12,FALSE)&lt;&gt;0),VLOOKUP(F58,'2. AWARDS'!$C$9:$O$35,12,FALSE)*(1+P58),IF(AND(E58='2. AWARDS'!J44,O58&gt;N58,O58&lt;Q58,VLOOKUP(F58,'2. AWARDS'!$C$9:$O$35,13,FALSE)&lt;&gt;0),VLOOKUP(F58,'2. AWARDS'!$C$9:$O$35,13,FALSE)*(1+P58),X58*(1+P58))))))))))))))))))))))))))))))))))</f>
        <v>#N/A</v>
      </c>
      <c r="AA58" s="816" t="e">
        <f t="shared" si="64"/>
        <v>#VALUE!</v>
      </c>
      <c r="AB58" s="684"/>
      <c r="AC58" s="776"/>
      <c r="AD58" s="776"/>
      <c r="AE58" s="779"/>
      <c r="AF58" s="1127">
        <f t="shared" si="59"/>
        <v>0</v>
      </c>
      <c r="AG58" s="781" t="e">
        <f>HLOOKUP(E58,'2. AWARDS'!$F$7:$J$40,32,FALSE)/5*HLOOKUP(E58,'2. AWARDS'!$F$7:$J$40,31,FALSE)*MAX(W58:AA58)*M58*HLOOKUP(E58,'2. AWARDS'!$F$7:$J$40,34,FALSE)*(L58/(38*2))</f>
        <v>#N/A</v>
      </c>
      <c r="AH58" s="786" t="e">
        <f>((HLOOKUP(E58,'2. AWARDS'!$F$7:$J$42,36,FALSE)/HLOOKUP(E58,'2. AWARDS'!$F$7:$J$42,35,FALSE)*HLOOKUP(E58,'2. AWARDS'!$F$7:$J$45,39,FALSE))/(HLOOKUP(E58,'2. AWARDS'!$F$7:$J$45,31,FALSE)*2)*L58*M58*HLOOKUP(E58,'2. AWARDS'!$F$7:$J$45,31,FALSE)*MAX(W58:AA58))</f>
        <v>#N/A</v>
      </c>
      <c r="AI58" s="682"/>
      <c r="AJ58" s="804"/>
      <c r="AK58" s="821"/>
      <c r="AL58" s="821"/>
      <c r="AM58" s="823"/>
      <c r="AN58" s="1012"/>
      <c r="AO58" s="843">
        <f>IF(AJ58="YES",HLOOKUP(E58,'2. AWARDS'!$F$7:$J$38,32,FALSE)/5*HLOOKUP(E58,'2. AWARDS'!$F$7:$J$37,31,FALSE)*L58/(HLOOKUP(E58,'2. AWARDS'!$F$7:$J$37,31,FALSE)*2)*M58*MAX(W58:AA58)*(1+HLOOKUP(E58,'2. AWARDS'!$F$7:$J$43,37,FALSE))*(1-AM58),0)</f>
        <v>0</v>
      </c>
      <c r="AP58" s="843">
        <f>IF(AK58="YES",HLOOKUP(E58,'2. AWARDS'!$F$7:$J$39,33,FALSE)/5*HLOOKUP(E58,'2. AWARDS'!$F$7:$J$37,31,FALSE)*L58/(HLOOKUP(E58,'2. AWARDS'!$F$7:$J$37,31,FALSE)*2)*M58*MAX(W58:AA58)*(1+HLOOKUP(E58,'2. AWARDS'!$F$7:$J$43,37,FALSE))*(1-AM58),0)</f>
        <v>0</v>
      </c>
      <c r="AQ58" s="843">
        <f>IF(AL58="YES",HLOOKUP(E58,'2. AWARDS'!$F$7:$J$47,40,FALSE)/5*HLOOKUP(E58,'2. AWARDS'!$F$7:$J$37,31,FALSE)*L58/(HLOOKUP(E58,'2. AWARDS'!$F$7:$J$37,31,FALSE)*2)*M58*MAX(W58:AA58)*(1+HLOOKUP(E58,'2. AWARDS'!$F$7:$J$43,37,FALSE))*(1-AM58),0)</f>
        <v>0</v>
      </c>
      <c r="AR58" s="844" t="e">
        <f>(IF(AJ58="YES",HLOOKUP(E58,'2. AWARDS'!$F$7:$J$39,32,FALSE),0)+IF(AK58="YES",HLOOKUP(E58,'2. AWARDS'!$F$7:$J$39,33,FALSE),0)+IF(AL58="YES",HLOOKUP(E58,'2. AWARDS'!$F$7:$J$47,40,FALSE),0))/5*(HLOOKUP(E58,'2. AWARDS'!$F$7:$J$39,31,FALSE)*2)*AM58*AN58</f>
        <v>#N/A</v>
      </c>
      <c r="AS58" s="684"/>
      <c r="AT58" s="802">
        <v>0.04</v>
      </c>
      <c r="AU58" s="822">
        <f>'1. KEY DATA'!J$30</f>
        <v>0.09</v>
      </c>
      <c r="AV58" s="502"/>
      <c r="AW58" s="478">
        <f t="shared" si="60"/>
        <v>0</v>
      </c>
      <c r="AX58" s="502"/>
      <c r="AY58" s="998"/>
      <c r="AZ58" s="999"/>
      <c r="BA58" s="999"/>
      <c r="BB58" s="999"/>
      <c r="BC58" s="999"/>
      <c r="BD58" s="999"/>
      <c r="BE58" s="999"/>
      <c r="BF58" s="999"/>
      <c r="BG58" s="999"/>
      <c r="BH58" s="999"/>
      <c r="BI58" s="1020"/>
      <c r="BJ58" s="1020"/>
      <c r="BK58" s="1020"/>
      <c r="BL58" s="1021"/>
      <c r="BM58" s="301">
        <f t="shared" si="61"/>
        <v>1</v>
      </c>
      <c r="BO58" s="389" t="str">
        <f t="shared" si="65"/>
        <v>-</v>
      </c>
      <c r="BP58" s="384" t="str">
        <f t="shared" si="66"/>
        <v>-</v>
      </c>
      <c r="BQ58" s="384" t="str">
        <f t="shared" si="67"/>
        <v>-</v>
      </c>
      <c r="BR58" s="384" t="str">
        <f t="shared" si="68"/>
        <v>-</v>
      </c>
      <c r="BS58" s="384" t="str">
        <f t="shared" si="69"/>
        <v>-</v>
      </c>
      <c r="BT58" s="384" t="str">
        <f t="shared" si="70"/>
        <v>-</v>
      </c>
      <c r="BU58" s="384" t="str">
        <f t="shared" si="71"/>
        <v>-</v>
      </c>
      <c r="BV58" s="384" t="str">
        <f t="shared" si="72"/>
        <v>-</v>
      </c>
      <c r="BW58" s="384" t="str">
        <f t="shared" si="73"/>
        <v>-</v>
      </c>
      <c r="BX58" s="384" t="str">
        <f t="shared" si="74"/>
        <v>-</v>
      </c>
      <c r="BY58" s="385" t="str">
        <f t="shared" si="75"/>
        <v>-</v>
      </c>
      <c r="BZ58" s="385" t="str">
        <f t="shared" si="76"/>
        <v>-</v>
      </c>
      <c r="CA58" s="385" t="str">
        <f t="shared" si="77"/>
        <v>-</v>
      </c>
      <c r="CB58" s="390" t="str">
        <f t="shared" si="78"/>
        <v>-</v>
      </c>
    </row>
    <row r="59" spans="1:80">
      <c r="B59" s="231"/>
      <c r="C59" s="214"/>
      <c r="D59" s="699">
        <f t="shared" si="63"/>
        <v>0</v>
      </c>
      <c r="E59" s="626"/>
      <c r="F59" s="903"/>
      <c r="G59" s="625"/>
      <c r="H59" s="765"/>
      <c r="I59" s="1118"/>
      <c r="J59" s="1123"/>
      <c r="K59" s="1124"/>
      <c r="L59" s="1109"/>
      <c r="M59" s="689"/>
      <c r="N59" s="634"/>
      <c r="O59" s="634"/>
      <c r="P59" s="638">
        <f t="shared" si="79"/>
        <v>0.03</v>
      </c>
      <c r="Q59" s="634"/>
      <c r="R59" s="812" t="str">
        <f t="shared" si="57"/>
        <v>-</v>
      </c>
      <c r="S59" s="649"/>
      <c r="T59" s="768"/>
      <c r="U59" s="834"/>
      <c r="V59" s="772"/>
      <c r="W59" s="817">
        <f t="shared" si="58"/>
        <v>0</v>
      </c>
      <c r="X59" s="817">
        <f>IF(OR(E59=0,F59=0),0,IF(E59='2. AWARDS'!F$7,VLOOKUP(F59,'2. AWARDS'!$C$9:$F$35,4,FALSE),IF(E59='2. AWARDS'!G$7,VLOOKUP(F59,'2. AWARDS'!$C$9:$G$35,5,FALSE),IF(E59='2. AWARDS'!H$7,VLOOKUP(F59,'2. AWARDS'!$C$9:$H$35,6,FALSE),IF(E59='2. AWARDS'!I$7,VLOOKUP(F59,'2. AWARDS'!$C$9:$I$35,7,FALSE),VLOOKUP(F59,'2. AWARDS'!$C$9:$J$35,8,FALSE))))))</f>
        <v>0</v>
      </c>
      <c r="Y59" s="815">
        <f>IF(OR(E59=0,F59=0),0,IF(AND(N59=0,E59='2. AWARDS'!F$7,VLOOKUP(F59,'2. AWARDS'!$C$9:$O$35,9,FALSE)&lt;&gt;0),"date missing",IF(AND(N59=0,E59='2. AWARDS'!G$7,VLOOKUP(F59,'2. AWARDS'!$C$9:$O$35,10,FALSE)&lt;&gt;0),"date missing",IF(AND(N59=0,E59='2. AWARDS'!H$7,VLOOKUP(F59,'2. AWARDS'!$C$9:$O$35,11,FALSE)&lt;&gt;0),"date missing",IF(AND(N59=0,E59='2. AWARDS'!I$7,VLOOKUP(F59,'2. AWARDS'!$C$9:$O$35,12,FALSE)&lt;&gt;0),"date missing",IF(AND(N59=0,E59='2. AWARDS'!J$7,VLOOKUP(F59,'2. AWARDS'!$C$9:$O$35,13,FALSE)&lt;&gt;0),"date missing",IF(N59=0,0,IF(OR(N59=MIN(O59,Q59),AND(N59&lt;O59,N59&lt;Q59,N59&gt;0)),IF(E59='2. AWARDS'!F$7,VLOOKUP(F59,'2. AWARDS'!$C$9:$O$35,9,FALSE),IF(E59='2. AWARDS'!G$7,VLOOKUP(F59,'2. AWARDS'!$C$9:$O$35,10,FALSE),IF(E59='2. AWARDS'!H$7,VLOOKUP(F59,'2. AWARDS'!$C$9:$O$35,11,FALSE),IF(E59='2. AWARDS'!I$7,VLOOKUP(F59,'2. AWARDS'!$C$9:$O$35,12,FALSE),IF(E59='2. AWARDS'!J$7,VLOOKUP(F59,'2. AWARDS'!$C$9:$O$35,13,FALSE)))))),IF(AND(N59&gt;O59,N59&lt;Q59),IF(E59='2. AWARDS'!F$7,(1+P59)*VLOOKUP(F59,'2. AWARDS'!$C$9:$O$35,9,FALSE),IF(E59='2. AWARDS'!G$7,(1+P59)*VLOOKUP(F59,'2. AWARDS'!$C$9:$O$35,10,FALSE),IF(E59='2. AWARDS'!H$7,(1+P59)*VLOOKUP(F59,'2. AWARDS'!$C$9:$O$35,11,FALSE),IF(E59='2. AWARDS'!I$7,(1+P59)*VLOOKUP(F59,'2. AWARDS'!$C$9:$O$35,12,FALSE),IF(E59='2. AWARDS'!J$7,(1+P59)*VLOOKUP(F59,'2. AWARDS'!$C$9:$O$35,13,FALSE)))))),IF(AND(N59&lt;O59,N59&gt;Q59),IF(E59='2. AWARDS'!F$7,(1+(R59/9))*VLOOKUP(F59,'2. AWARDS'!$C$9:$O$35,9,FALSE),IF(E59='2. AWARDS'!G$7,(1+(R59/9))*VLOOKUP(F59,'2. AWARDS'!$C$9:$O$35,10,FALSE),IF(E59='2. AWARDS'!H$7,(1+(R59/9))*VLOOKUP(F59,'2. AWARDS'!$C$9:$O$35,11,FALSE),IF(E59='2. AWARDS'!I$7,(1+(R59/9))*VLOOKUP(F59,'2. AWARDS'!$C$9:$O$35,12,FALSE),IF(E59='2. AWARDS'!J$7,(1+(R59/9))*VLOOKUP(F59,'2. AWARDS'!$C$9:$O$35,13,FALSE)))))),IF(OR(N59=MAX(O59,Q59),AND(N59&gt;O59,N59&gt;Q59)),IF(E59='2. AWARDS'!F$7,((1+(R59/9))*(1+P59))*VLOOKUP(F59,'2. AWARDS'!$C$9:$O$35,9,FALSE),IF(E59='2. AWARDS'!G$7,((1+(R59/9))*(1+P59))*VLOOKUP(F59,'2. AWARDS'!$C$9:$O$35,10,FALSE),IF(E59='2. AWARDS'!H$7,((1+(R59/9))*(1+P59))*VLOOKUP(F59,'2. AWARDS'!$C$9:$O$35,11,FALSE),IF(E59='2. AWARDS'!I$7,((1+(R59/9))*(1+P59))*VLOOKUP(F59,'2. AWARDS'!$C$9:$O$35,12,FALSE),IF(E59='2. AWARDS'!J$7,((1+(R59/9))*(1+P59))*VLOOKUP(F59,'2. AWARDS'!$C$9:$O$35,13,FALSE)))))),"?")))))))))))</f>
        <v>0</v>
      </c>
      <c r="Z59" s="814" t="e">
        <f>IF(AND(E59='2. AWARDS'!F45,O59&gt;N59,O59&gt;Q59,VLOOKUP(F59,'2. AWARDS'!$C$9:$O$35,9,FALSE)&lt;&gt;0),VLOOKUP(F59,'2. AWARDS'!$C$9:$O$35,9,FALSE)*(1+P59)*(1+(R59/9)),IF(AND(E59='2. AWARDS'!F45,O59&gt;N59,O59&gt;Q59,VLOOKUP(F59,'2. AWARDS'!$C$9:$O$35,9,FALSE)=0),X59*(1+P59)*(1+(R59/9)),IF(AND(E59='2. AWARDS'!G45,O59&gt;N59,O59&gt;Q59,VLOOKUP(F59,'2. AWARDS'!$C$9:$O$35,10,FALSE)&lt;&gt;0),VLOOKUP(F59,'2. AWARDS'!$C$9:$O$35,10,FALSE)*(1+P59)*(1+(R59/9)),IF(AND(E59='2. AWARDS'!G45,O59&gt;N59,O59&gt;Q59,VLOOKUP(F59,'2. AWARDS'!$C$9:$O$35,10,FALSE)=0),X59*(1+P59)*(1+(R59/9)),IF(AND(E59='2. AWARDS'!H45,O59&gt;N59,O59&gt;Q59,VLOOKUP(F59,'2. AWARDS'!$C$9:$O$35,11,FALSE)&lt;&gt;0),VLOOKUP(F59,'2. AWARDS'!$C$9:$O$35,11,FALSE)*(1+P59)*(1+(R59/9)),IF(AND(E59='2. AWARDS'!H45,O59&gt;N59,O59&gt;Q59,VLOOKUP(F59,'2. AWARDS'!$C$9:$O$35,11,FALSE)=0),X59*(1+P59)*(1+(R59/9)),IF(AND(E59='2. AWARDS'!I45,O59&gt;N59,O59&gt;Q59,VLOOKUP(F59,'2. AWARDS'!$C$9:$O$35,12,FALSE)&lt;&gt;0),VLOOKUP(F59,'2. AWARDS'!$C$9:$O$35,12,FALSE)*(1+P59)*(1+(R59/9)),IF(AND(E59='2. AWARDS'!I45,O59&gt;N59,O59&gt;Q59,VLOOKUP(F59,'2. AWARDS'!$C$9:$O$35,12,FALSE)=0),X59*(1+P59)*(1+(R59/9)),IF(AND(E59='2. AWARDS'!J45,O59&gt;N59,O59&gt;Q59,VLOOKUP(F59,'2. AWARDS'!$C$9:$O$35,13,FALSE)&lt;&gt;0),VLOOKUP(F59,'2. AWARDS'!$C$9:$O$35,13,FALSE)*(1+P59)*(1+(R59/9)),IF(AND(E59='2. AWARDS'!J45,O59&gt;N59,O59&gt;Q59,VLOOKUP(F59,'2. AWARDS'!$C$9:$O$35,13,FALSE)=0),X59*(1+P59)*(1+(R59/9)),IF(AND(O59&lt;N59,O59&gt;Q59),X59*(1+P59)*(1+(R59/9)),IF(AND(E59='2. AWARDS'!F45,O59=MAX(N59,Q59),VLOOKUP(F59,'2. AWARDS'!$C$9:$O$35,9,FALSE)&lt;&gt;0),VLOOKUP(F59,'2. AWARDS'!$C$9:$O$35,9,FALSE)*(1+P59)*(1+(R59/9)),IF(AND(E59='2. AWARDS'!F45,O59=MAX(N59,Q59),VLOOKUP(F59,'2. AWARDS'!$C$9:$O$35,9,FALSE)=0),X59*(1+P59)*(1+(R59/9)),IF(AND(E59='2. AWARDS'!G45,O59=MAX(N59,Q59),VLOOKUP(F59,'2. AWARDS'!$C$9:$O$35,10,FALSE)&lt;&gt;0),VLOOKUP(F59,'2. AWARDS'!$C$9:$O$35,10,FALSE)*(1+P59)*(1+(R59/9)),IF(AND(E59='2. AWARDS'!G45,O59=MAX(N59,Q59),VLOOKUP(F59,'2. AWARDS'!$C$9:$O$35,10,FALSE)=0),X59*(1+P59)*(1+(R59/9)),IF(AND(E59='2. AWARDS'!H45,O59=MAX(N59,Q59),VLOOKUP(F59,'2. AWARDS'!$C$9:$O$35,11,FALSE)&lt;&gt;0),VLOOKUP(F59,'2. AWARDS'!$C$9:$O$35,11,FALSE)*(1+P59)*(1+(R59/9)),IF(AND(E59='2. AWARDS'!H45,O59=MAX(N59,Q59),VLOOKUP(F59,'2. AWARDS'!$C$9:$O$35,11,FALSE)=0),X59*(1+P59)*(1+(R59/9)),IF(AND(E59='2. AWARDS'!I45,O59=MAX(N59,Q59),VLOOKUP(F59,'2. AWARDS'!$C$9:$O$35,12,FALSE)&lt;&gt;0),VLOOKUP(F59,'2. AWARDS'!$C$9:$O$35,12,FALSE)*(1+P59)*(1+(R59/9)),IF(AND(E59='2. AWARDS'!I45,O59=MAX(N59,Q59),VLOOKUP(F59,'2. AWARDS'!$C$9:$O$35,12,FALSE)=0),X59*(1+P59)*(1+(R59/9)),IF(AND(E59='2. AWARDS'!J45,O59=MAX(N59,Q59),VLOOKUP(F59,'2. AWARDS'!$C$9:$O$35,13,FALSE)&lt;&gt;0),VLOOKUP(F59,'2. AWARDS'!$C$9:$O$35,13,FALSE)*(1+P59)*(1+(R59/9)),IF(AND(E59='2. AWARDS'!J45,O59=MAX(N59,Q59),VLOOKUP(F59,'2. AWARDS'!$C$9:$O$35,13,FALSE)=0),X59*(1+P59)*(1+(R59/9)),IF(AND(O59&lt;N59,O59&lt;Q59),X59*(1+P59),IF(AND(O59=N59,N59&lt;Q59,E59='2. AWARDS'!F45),VLOOKUP(F59,'2. AWARDS'!$C$9:$O$35,9,FALSE)*(1+P59),IF(AND(O59=N59,N59&lt;Q59,E59='2. AWARDS'!G45),VLOOKUP(F59,'2. AWARDS'!$C$9:$O$35,10,FALSE)*(1+P59),IF(AND(O59=N59,N59&lt;Q59,E59='2. AWARDS'!H45),VLOOKUP(F59,'2. AWARDS'!$C$9:$O$35,11,FALSE)*(1+P59),IF(AND(O59=N59,N59&lt;Q59,E59='2. AWARDS'!I45),VLOOKUP(F59,'2. AWARDS'!$C$9:$O$35,12,FALSE)*(1+P59),IF(AND(O59=N59,N59&lt;Q59,E59='2. AWARDS'!J45),VLOOKUP(F59,'2. AWARDS'!$C$9:$O$35,13,FALSE)*(1+P59),IF(AND(O59=Q59,N59&gt;Q59),X59*(1+P59)*(1+(R59/9)),IF(AND(E59='2. AWARDS'!F45,O59&gt;N59,O59&lt;Q59,VLOOKUP(F59,'2. AWARDS'!$C$9:$O$35,9,FALSE)&lt;&gt;0),VLOOKUP(F59,'2. AWARDS'!$C$9:$O$35,9,FALSE)*(1+P59),IF(AND(E59='2. AWARDS'!G45,O59&gt;N59,O59&lt;Q59,VLOOKUP(F59,'2. AWARDS'!$C$9:$O$35,10,FALSE)&lt;&gt;0),VLOOKUP(F59,'2. AWARDS'!$C$9:$O$35,10,FALSE)*(1+P59),IF(AND(E59='2. AWARDS'!H45,O59&gt;N59,O59&lt;Q59,VLOOKUP(F59,'2. AWARDS'!$C$9:$O$35,11,FALSE)&lt;&gt;0),VLOOKUP(F59,'2. AWARDS'!$C$9:$O$35,11,FALSE)*(1+P59),IF(AND(E59='2. AWARDS'!I45,O59&gt;N59,O59&lt;Q59,VLOOKUP(F59,'2. AWARDS'!$C$9:$O$35,12,FALSE)&lt;&gt;0),VLOOKUP(F59,'2. AWARDS'!$C$9:$O$35,12,FALSE)*(1+P59),IF(AND(E59='2. AWARDS'!J45,O59&gt;N59,O59&lt;Q59,VLOOKUP(F59,'2. AWARDS'!$C$9:$O$35,13,FALSE)&lt;&gt;0),VLOOKUP(F59,'2. AWARDS'!$C$9:$O$35,13,FALSE)*(1+P59),X59*(1+P59))))))))))))))))))))))))))))))))))</f>
        <v>#N/A</v>
      </c>
      <c r="AA59" s="816" t="e">
        <f t="shared" si="64"/>
        <v>#VALUE!</v>
      </c>
      <c r="AB59" s="684"/>
      <c r="AC59" s="776"/>
      <c r="AD59" s="776"/>
      <c r="AE59" s="779"/>
      <c r="AF59" s="1127">
        <f t="shared" si="59"/>
        <v>0</v>
      </c>
      <c r="AG59" s="781" t="e">
        <f>HLOOKUP(E59,'2. AWARDS'!$F$7:$J$40,32,FALSE)/5*HLOOKUP(E59,'2. AWARDS'!$F$7:$J$40,31,FALSE)*MAX(W59:AA59)*M59*HLOOKUP(E59,'2. AWARDS'!$F$7:$J$40,34,FALSE)*(L59/(38*2))</f>
        <v>#N/A</v>
      </c>
      <c r="AH59" s="786" t="e">
        <f>((HLOOKUP(E59,'2. AWARDS'!$F$7:$J$42,36,FALSE)/HLOOKUP(E59,'2. AWARDS'!$F$7:$J$42,35,FALSE)*HLOOKUP(E59,'2. AWARDS'!$F$7:$J$45,39,FALSE))/(HLOOKUP(E59,'2. AWARDS'!$F$7:$J$45,31,FALSE)*2)*L59*M59*HLOOKUP(E59,'2. AWARDS'!$F$7:$J$45,31,FALSE)*MAX(W59:AA59))</f>
        <v>#N/A</v>
      </c>
      <c r="AI59" s="682"/>
      <c r="AJ59" s="804"/>
      <c r="AK59" s="821"/>
      <c r="AL59" s="821"/>
      <c r="AM59" s="823"/>
      <c r="AN59" s="1012"/>
      <c r="AO59" s="843">
        <f>IF(AJ59="YES",HLOOKUP(E59,'2. AWARDS'!$F$7:$J$38,32,FALSE)/5*HLOOKUP(E59,'2. AWARDS'!$F$7:$J$37,31,FALSE)*L59/(HLOOKUP(E59,'2. AWARDS'!$F$7:$J$37,31,FALSE)*2)*M59*MAX(W59:AA59)*(1+HLOOKUP(E59,'2. AWARDS'!$F$7:$J$43,37,FALSE))*(1-AM59),0)</f>
        <v>0</v>
      </c>
      <c r="AP59" s="843">
        <f>IF(AK59="YES",HLOOKUP(E59,'2. AWARDS'!$F$7:$J$39,33,FALSE)/5*HLOOKUP(E59,'2. AWARDS'!$F$7:$J$37,31,FALSE)*L59/(HLOOKUP(E59,'2. AWARDS'!$F$7:$J$37,31,FALSE)*2)*M59*MAX(W59:AA59)*(1+HLOOKUP(E59,'2. AWARDS'!$F$7:$J$43,37,FALSE))*(1-AM59),0)</f>
        <v>0</v>
      </c>
      <c r="AQ59" s="843">
        <f>IF(AL59="YES",HLOOKUP(E59,'2. AWARDS'!$F$7:$J$47,40,FALSE)/5*HLOOKUP(E59,'2. AWARDS'!$F$7:$J$37,31,FALSE)*L59/(HLOOKUP(E59,'2. AWARDS'!$F$7:$J$37,31,FALSE)*2)*M59*MAX(W59:AA59)*(1+HLOOKUP(E59,'2. AWARDS'!$F$7:$J$43,37,FALSE))*(1-AM59),0)</f>
        <v>0</v>
      </c>
      <c r="AR59" s="844" t="e">
        <f>(IF(AJ59="YES",HLOOKUP(E59,'2. AWARDS'!$F$7:$J$39,32,FALSE),0)+IF(AK59="YES",HLOOKUP(E59,'2. AWARDS'!$F$7:$J$39,33,FALSE),0)+IF(AL59="YES",HLOOKUP(E59,'2. AWARDS'!$F$7:$J$47,40,FALSE),0))/5*(HLOOKUP(E59,'2. AWARDS'!$F$7:$J$39,31,FALSE)*2)*AM59*AN59</f>
        <v>#N/A</v>
      </c>
      <c r="AS59" s="684"/>
      <c r="AT59" s="802">
        <v>0.04</v>
      </c>
      <c r="AU59" s="822">
        <f>'1. KEY DATA'!J$30</f>
        <v>0.09</v>
      </c>
      <c r="AV59" s="502"/>
      <c r="AW59" s="478">
        <f t="shared" si="60"/>
        <v>0</v>
      </c>
      <c r="AX59" s="502"/>
      <c r="AY59" s="998"/>
      <c r="AZ59" s="999"/>
      <c r="BA59" s="999"/>
      <c r="BB59" s="999"/>
      <c r="BC59" s="999"/>
      <c r="BD59" s="999"/>
      <c r="BE59" s="999"/>
      <c r="BF59" s="999"/>
      <c r="BG59" s="999"/>
      <c r="BH59" s="999"/>
      <c r="BI59" s="1020"/>
      <c r="BJ59" s="1020"/>
      <c r="BK59" s="1020"/>
      <c r="BL59" s="1021"/>
      <c r="BM59" s="301">
        <f t="shared" si="61"/>
        <v>1</v>
      </c>
      <c r="BO59" s="389" t="str">
        <f t="shared" si="65"/>
        <v>-</v>
      </c>
      <c r="BP59" s="384" t="str">
        <f t="shared" si="66"/>
        <v>-</v>
      </c>
      <c r="BQ59" s="384" t="str">
        <f t="shared" si="67"/>
        <v>-</v>
      </c>
      <c r="BR59" s="384" t="str">
        <f t="shared" si="68"/>
        <v>-</v>
      </c>
      <c r="BS59" s="384" t="str">
        <f t="shared" si="69"/>
        <v>-</v>
      </c>
      <c r="BT59" s="384" t="str">
        <f t="shared" si="70"/>
        <v>-</v>
      </c>
      <c r="BU59" s="384" t="str">
        <f t="shared" si="71"/>
        <v>-</v>
      </c>
      <c r="BV59" s="384" t="str">
        <f t="shared" si="72"/>
        <v>-</v>
      </c>
      <c r="BW59" s="384" t="str">
        <f t="shared" si="73"/>
        <v>-</v>
      </c>
      <c r="BX59" s="384" t="str">
        <f t="shared" si="74"/>
        <v>-</v>
      </c>
      <c r="BY59" s="385" t="str">
        <f t="shared" si="75"/>
        <v>-</v>
      </c>
      <c r="BZ59" s="385" t="str">
        <f t="shared" si="76"/>
        <v>-</v>
      </c>
      <c r="CA59" s="385" t="str">
        <f t="shared" si="77"/>
        <v>-</v>
      </c>
      <c r="CB59" s="390" t="str">
        <f t="shared" si="78"/>
        <v>-</v>
      </c>
    </row>
    <row r="60" spans="1:80">
      <c r="B60" s="231"/>
      <c r="C60" s="214"/>
      <c r="D60" s="699">
        <f t="shared" si="63"/>
        <v>0</v>
      </c>
      <c r="E60" s="626"/>
      <c r="F60" s="903"/>
      <c r="G60" s="625"/>
      <c r="H60" s="765"/>
      <c r="I60" s="1118"/>
      <c r="J60" s="1123"/>
      <c r="K60" s="1124"/>
      <c r="L60" s="1109"/>
      <c r="M60" s="689"/>
      <c r="N60" s="634"/>
      <c r="O60" s="634"/>
      <c r="P60" s="638">
        <f t="shared" si="79"/>
        <v>0.03</v>
      </c>
      <c r="Q60" s="634"/>
      <c r="R60" s="812" t="str">
        <f t="shared" si="57"/>
        <v>-</v>
      </c>
      <c r="S60" s="649"/>
      <c r="T60" s="768"/>
      <c r="U60" s="834"/>
      <c r="V60" s="772"/>
      <c r="W60" s="817">
        <f t="shared" si="58"/>
        <v>0</v>
      </c>
      <c r="X60" s="817">
        <f>IF(OR(E60=0,F60=0),0,IF(E60='2. AWARDS'!F$7,VLOOKUP(F60,'2. AWARDS'!$C$9:$F$35,4,FALSE),IF(E60='2. AWARDS'!G$7,VLOOKUP(F60,'2. AWARDS'!$C$9:$G$35,5,FALSE),IF(E60='2. AWARDS'!H$7,VLOOKUP(F60,'2. AWARDS'!$C$9:$H$35,6,FALSE),IF(E60='2. AWARDS'!I$7,VLOOKUP(F60,'2. AWARDS'!$C$9:$I$35,7,FALSE),VLOOKUP(F60,'2. AWARDS'!$C$9:$J$35,8,FALSE))))))</f>
        <v>0</v>
      </c>
      <c r="Y60" s="815">
        <f>IF(OR(E60=0,F60=0),0,IF(AND(N60=0,E60='2. AWARDS'!F$7,VLOOKUP(F60,'2. AWARDS'!$C$9:$O$35,9,FALSE)&lt;&gt;0),"date missing",IF(AND(N60=0,E60='2. AWARDS'!G$7,VLOOKUP(F60,'2. AWARDS'!$C$9:$O$35,10,FALSE)&lt;&gt;0),"date missing",IF(AND(N60=0,E60='2. AWARDS'!H$7,VLOOKUP(F60,'2. AWARDS'!$C$9:$O$35,11,FALSE)&lt;&gt;0),"date missing",IF(AND(N60=0,E60='2. AWARDS'!I$7,VLOOKUP(F60,'2. AWARDS'!$C$9:$O$35,12,FALSE)&lt;&gt;0),"date missing",IF(AND(N60=0,E60='2. AWARDS'!J$7,VLOOKUP(F60,'2. AWARDS'!$C$9:$O$35,13,FALSE)&lt;&gt;0),"date missing",IF(N60=0,0,IF(OR(N60=MIN(O60,Q60),AND(N60&lt;O60,N60&lt;Q60,N60&gt;0)),IF(E60='2. AWARDS'!F$7,VLOOKUP(F60,'2. AWARDS'!$C$9:$O$35,9,FALSE),IF(E60='2. AWARDS'!G$7,VLOOKUP(F60,'2. AWARDS'!$C$9:$O$35,10,FALSE),IF(E60='2. AWARDS'!H$7,VLOOKUP(F60,'2. AWARDS'!$C$9:$O$35,11,FALSE),IF(E60='2. AWARDS'!I$7,VLOOKUP(F60,'2. AWARDS'!$C$9:$O$35,12,FALSE),IF(E60='2. AWARDS'!J$7,VLOOKUP(F60,'2. AWARDS'!$C$9:$O$35,13,FALSE)))))),IF(AND(N60&gt;O60,N60&lt;Q60),IF(E60='2. AWARDS'!F$7,(1+P60)*VLOOKUP(F60,'2. AWARDS'!$C$9:$O$35,9,FALSE),IF(E60='2. AWARDS'!G$7,(1+P60)*VLOOKUP(F60,'2. AWARDS'!$C$9:$O$35,10,FALSE),IF(E60='2. AWARDS'!H$7,(1+P60)*VLOOKUP(F60,'2. AWARDS'!$C$9:$O$35,11,FALSE),IF(E60='2. AWARDS'!I$7,(1+P60)*VLOOKUP(F60,'2. AWARDS'!$C$9:$O$35,12,FALSE),IF(E60='2. AWARDS'!J$7,(1+P60)*VLOOKUP(F60,'2. AWARDS'!$C$9:$O$35,13,FALSE)))))),IF(AND(N60&lt;O60,N60&gt;Q60),IF(E60='2. AWARDS'!F$7,(1+(R60/9))*VLOOKUP(F60,'2. AWARDS'!$C$9:$O$35,9,FALSE),IF(E60='2. AWARDS'!G$7,(1+(R60/9))*VLOOKUP(F60,'2. AWARDS'!$C$9:$O$35,10,FALSE),IF(E60='2. AWARDS'!H$7,(1+(R60/9))*VLOOKUP(F60,'2. AWARDS'!$C$9:$O$35,11,FALSE),IF(E60='2. AWARDS'!I$7,(1+(R60/9))*VLOOKUP(F60,'2. AWARDS'!$C$9:$O$35,12,FALSE),IF(E60='2. AWARDS'!J$7,(1+(R60/9))*VLOOKUP(F60,'2. AWARDS'!$C$9:$O$35,13,FALSE)))))),IF(OR(N60=MAX(O60,Q60),AND(N60&gt;O60,N60&gt;Q60)),IF(E60='2. AWARDS'!F$7,((1+(R60/9))*(1+P60))*VLOOKUP(F60,'2. AWARDS'!$C$9:$O$35,9,FALSE),IF(E60='2. AWARDS'!G$7,((1+(R60/9))*(1+P60))*VLOOKUP(F60,'2. AWARDS'!$C$9:$O$35,10,FALSE),IF(E60='2. AWARDS'!H$7,((1+(R60/9))*(1+P60))*VLOOKUP(F60,'2. AWARDS'!$C$9:$O$35,11,FALSE),IF(E60='2. AWARDS'!I$7,((1+(R60/9))*(1+P60))*VLOOKUP(F60,'2. AWARDS'!$C$9:$O$35,12,FALSE),IF(E60='2. AWARDS'!J$7,((1+(R60/9))*(1+P60))*VLOOKUP(F60,'2. AWARDS'!$C$9:$O$35,13,FALSE)))))),"?")))))))))))</f>
        <v>0</v>
      </c>
      <c r="Z60" s="814" t="e">
        <f>IF(AND(E60='2. AWARDS'!F46,O60&gt;N60,O60&gt;Q60,VLOOKUP(F60,'2. AWARDS'!$C$9:$O$35,9,FALSE)&lt;&gt;0),VLOOKUP(F60,'2. AWARDS'!$C$9:$O$35,9,FALSE)*(1+P60)*(1+(R60/9)),IF(AND(E60='2. AWARDS'!F46,O60&gt;N60,O60&gt;Q60,VLOOKUP(F60,'2. AWARDS'!$C$9:$O$35,9,FALSE)=0),X60*(1+P60)*(1+(R60/9)),IF(AND(E60='2. AWARDS'!G46,O60&gt;N60,O60&gt;Q60,VLOOKUP(F60,'2. AWARDS'!$C$9:$O$35,10,FALSE)&lt;&gt;0),VLOOKUP(F60,'2. AWARDS'!$C$9:$O$35,10,FALSE)*(1+P60)*(1+(R60/9)),IF(AND(E60='2. AWARDS'!G46,O60&gt;N60,O60&gt;Q60,VLOOKUP(F60,'2. AWARDS'!$C$9:$O$35,10,FALSE)=0),X60*(1+P60)*(1+(R60/9)),IF(AND(E60='2. AWARDS'!H46,O60&gt;N60,O60&gt;Q60,VLOOKUP(F60,'2. AWARDS'!$C$9:$O$35,11,FALSE)&lt;&gt;0),VLOOKUP(F60,'2. AWARDS'!$C$9:$O$35,11,FALSE)*(1+P60)*(1+(R60/9)),IF(AND(E60='2. AWARDS'!H46,O60&gt;N60,O60&gt;Q60,VLOOKUP(F60,'2. AWARDS'!$C$9:$O$35,11,FALSE)=0),X60*(1+P60)*(1+(R60/9)),IF(AND(E60='2. AWARDS'!I46,O60&gt;N60,O60&gt;Q60,VLOOKUP(F60,'2. AWARDS'!$C$9:$O$35,12,FALSE)&lt;&gt;0),VLOOKUP(F60,'2. AWARDS'!$C$9:$O$35,12,FALSE)*(1+P60)*(1+(R60/9)),IF(AND(E60='2. AWARDS'!I46,O60&gt;N60,O60&gt;Q60,VLOOKUP(F60,'2. AWARDS'!$C$9:$O$35,12,FALSE)=0),X60*(1+P60)*(1+(R60/9)),IF(AND(E60='2. AWARDS'!J46,O60&gt;N60,O60&gt;Q60,VLOOKUP(F60,'2. AWARDS'!$C$9:$O$35,13,FALSE)&lt;&gt;0),VLOOKUP(F60,'2. AWARDS'!$C$9:$O$35,13,FALSE)*(1+P60)*(1+(R60/9)),IF(AND(E60='2. AWARDS'!J46,O60&gt;N60,O60&gt;Q60,VLOOKUP(F60,'2. AWARDS'!$C$9:$O$35,13,FALSE)=0),X60*(1+P60)*(1+(R60/9)),IF(AND(O60&lt;N60,O60&gt;Q60),X60*(1+P60)*(1+(R60/9)),IF(AND(E60='2. AWARDS'!F46,O60=MAX(N60,Q60),VLOOKUP(F60,'2. AWARDS'!$C$9:$O$35,9,FALSE)&lt;&gt;0),VLOOKUP(F60,'2. AWARDS'!$C$9:$O$35,9,FALSE)*(1+P60)*(1+(R60/9)),IF(AND(E60='2. AWARDS'!F46,O60=MAX(N60,Q60),VLOOKUP(F60,'2. AWARDS'!$C$9:$O$35,9,FALSE)=0),X60*(1+P60)*(1+(R60/9)),IF(AND(E60='2. AWARDS'!G46,O60=MAX(N60,Q60),VLOOKUP(F60,'2. AWARDS'!$C$9:$O$35,10,FALSE)&lt;&gt;0),VLOOKUP(F60,'2. AWARDS'!$C$9:$O$35,10,FALSE)*(1+P60)*(1+(R60/9)),IF(AND(E60='2. AWARDS'!G46,O60=MAX(N60,Q60),VLOOKUP(F60,'2. AWARDS'!$C$9:$O$35,10,FALSE)=0),X60*(1+P60)*(1+(R60/9)),IF(AND(E60='2. AWARDS'!H46,O60=MAX(N60,Q60),VLOOKUP(F60,'2. AWARDS'!$C$9:$O$35,11,FALSE)&lt;&gt;0),VLOOKUP(F60,'2. AWARDS'!$C$9:$O$35,11,FALSE)*(1+P60)*(1+(R60/9)),IF(AND(E60='2. AWARDS'!H46,O60=MAX(N60,Q60),VLOOKUP(F60,'2. AWARDS'!$C$9:$O$35,11,FALSE)=0),X60*(1+P60)*(1+(R60/9)),IF(AND(E60='2. AWARDS'!I46,O60=MAX(N60,Q60),VLOOKUP(F60,'2. AWARDS'!$C$9:$O$35,12,FALSE)&lt;&gt;0),VLOOKUP(F60,'2. AWARDS'!$C$9:$O$35,12,FALSE)*(1+P60)*(1+(R60/9)),IF(AND(E60='2. AWARDS'!I46,O60=MAX(N60,Q60),VLOOKUP(F60,'2. AWARDS'!$C$9:$O$35,12,FALSE)=0),X60*(1+P60)*(1+(R60/9)),IF(AND(E60='2. AWARDS'!J46,O60=MAX(N60,Q60),VLOOKUP(F60,'2. AWARDS'!$C$9:$O$35,13,FALSE)&lt;&gt;0),VLOOKUP(F60,'2. AWARDS'!$C$9:$O$35,13,FALSE)*(1+P60)*(1+(R60/9)),IF(AND(E60='2. AWARDS'!J46,O60=MAX(N60,Q60),VLOOKUP(F60,'2. AWARDS'!$C$9:$O$35,13,FALSE)=0),X60*(1+P60)*(1+(R60/9)),IF(AND(O60&lt;N60,O60&lt;Q60),X60*(1+P60),IF(AND(O60=N60,N60&lt;Q60,E60='2. AWARDS'!F46),VLOOKUP(F60,'2. AWARDS'!$C$9:$O$35,9,FALSE)*(1+P60),IF(AND(O60=N60,N60&lt;Q60,E60='2. AWARDS'!G46),VLOOKUP(F60,'2. AWARDS'!$C$9:$O$35,10,FALSE)*(1+P60),IF(AND(O60=N60,N60&lt;Q60,E60='2. AWARDS'!H46),VLOOKUP(F60,'2. AWARDS'!$C$9:$O$35,11,FALSE)*(1+P60),IF(AND(O60=N60,N60&lt;Q60,E60='2. AWARDS'!I46),VLOOKUP(F60,'2. AWARDS'!$C$9:$O$35,12,FALSE)*(1+P60),IF(AND(O60=N60,N60&lt;Q60,E60='2. AWARDS'!J46),VLOOKUP(F60,'2. AWARDS'!$C$9:$O$35,13,FALSE)*(1+P60),IF(AND(O60=Q60,N60&gt;Q60),X60*(1+P60)*(1+(R60/9)),IF(AND(E60='2. AWARDS'!F46,O60&gt;N60,O60&lt;Q60,VLOOKUP(F60,'2. AWARDS'!$C$9:$O$35,9,FALSE)&lt;&gt;0),VLOOKUP(F60,'2. AWARDS'!$C$9:$O$35,9,FALSE)*(1+P60),IF(AND(E60='2. AWARDS'!G46,O60&gt;N60,O60&lt;Q60,VLOOKUP(F60,'2. AWARDS'!$C$9:$O$35,10,FALSE)&lt;&gt;0),VLOOKUP(F60,'2. AWARDS'!$C$9:$O$35,10,FALSE)*(1+P60),IF(AND(E60='2. AWARDS'!H46,O60&gt;N60,O60&lt;Q60,VLOOKUP(F60,'2. AWARDS'!$C$9:$O$35,11,FALSE)&lt;&gt;0),VLOOKUP(F60,'2. AWARDS'!$C$9:$O$35,11,FALSE)*(1+P60),IF(AND(E60='2. AWARDS'!I46,O60&gt;N60,O60&lt;Q60,VLOOKUP(F60,'2. AWARDS'!$C$9:$O$35,12,FALSE)&lt;&gt;0),VLOOKUP(F60,'2. AWARDS'!$C$9:$O$35,12,FALSE)*(1+P60),IF(AND(E60='2. AWARDS'!J46,O60&gt;N60,O60&lt;Q60,VLOOKUP(F60,'2. AWARDS'!$C$9:$O$35,13,FALSE)&lt;&gt;0),VLOOKUP(F60,'2. AWARDS'!$C$9:$O$35,13,FALSE)*(1+P60),X60*(1+P60))))))))))))))))))))))))))))))))))</f>
        <v>#N/A</v>
      </c>
      <c r="AA60" s="816" t="e">
        <f t="shared" si="64"/>
        <v>#VALUE!</v>
      </c>
      <c r="AB60" s="684"/>
      <c r="AC60" s="776"/>
      <c r="AD60" s="776"/>
      <c r="AE60" s="779"/>
      <c r="AF60" s="1127">
        <f t="shared" si="59"/>
        <v>0</v>
      </c>
      <c r="AG60" s="781" t="e">
        <f>HLOOKUP(E60,'2. AWARDS'!$F$7:$J$40,32,FALSE)/5*HLOOKUP(E60,'2. AWARDS'!$F$7:$J$40,31,FALSE)*MAX(W60:AA60)*M60*HLOOKUP(E60,'2. AWARDS'!$F$7:$J$40,34,FALSE)*(L60/(38*2))</f>
        <v>#N/A</v>
      </c>
      <c r="AH60" s="786" t="e">
        <f>((HLOOKUP(E60,'2. AWARDS'!$F$7:$J$42,36,FALSE)/HLOOKUP(E60,'2. AWARDS'!$F$7:$J$42,35,FALSE)*HLOOKUP(E60,'2. AWARDS'!$F$7:$J$45,39,FALSE))/(HLOOKUP(E60,'2. AWARDS'!$F$7:$J$45,31,FALSE)*2)*L60*M60*HLOOKUP(E60,'2. AWARDS'!$F$7:$J$45,31,FALSE)*MAX(W60:AA60))</f>
        <v>#N/A</v>
      </c>
      <c r="AI60" s="682"/>
      <c r="AJ60" s="804"/>
      <c r="AK60" s="821"/>
      <c r="AL60" s="821"/>
      <c r="AM60" s="823"/>
      <c r="AN60" s="1012"/>
      <c r="AO60" s="843">
        <f>IF(AJ60="YES",HLOOKUP(E60,'2. AWARDS'!$F$7:$J$38,32,FALSE)/5*HLOOKUP(E60,'2. AWARDS'!$F$7:$J$37,31,FALSE)*L60/(HLOOKUP(E60,'2. AWARDS'!$F$7:$J$37,31,FALSE)*2)*M60*MAX(W60:AA60)*(1+HLOOKUP(E60,'2. AWARDS'!$F$7:$J$43,37,FALSE))*(1-AM60),0)</f>
        <v>0</v>
      </c>
      <c r="AP60" s="843">
        <f>IF(AK60="YES",HLOOKUP(E60,'2. AWARDS'!$F$7:$J$39,33,FALSE)/5*HLOOKUP(E60,'2. AWARDS'!$F$7:$J$37,31,FALSE)*L60/(HLOOKUP(E60,'2. AWARDS'!$F$7:$J$37,31,FALSE)*2)*M60*MAX(W60:AA60)*(1+HLOOKUP(E60,'2. AWARDS'!$F$7:$J$43,37,FALSE))*(1-AM60),0)</f>
        <v>0</v>
      </c>
      <c r="AQ60" s="843">
        <f>IF(AL60="YES",HLOOKUP(E60,'2. AWARDS'!$F$7:$J$47,40,FALSE)/5*HLOOKUP(E60,'2. AWARDS'!$F$7:$J$37,31,FALSE)*L60/(HLOOKUP(E60,'2. AWARDS'!$F$7:$J$37,31,FALSE)*2)*M60*MAX(W60:AA60)*(1+HLOOKUP(E60,'2. AWARDS'!$F$7:$J$43,37,FALSE))*(1-AM60),0)</f>
        <v>0</v>
      </c>
      <c r="AR60" s="844" t="e">
        <f>(IF(AJ60="YES",HLOOKUP(E60,'2. AWARDS'!$F$7:$J$39,32,FALSE),0)+IF(AK60="YES",HLOOKUP(E60,'2. AWARDS'!$F$7:$J$39,33,FALSE),0)+IF(AL60="YES",HLOOKUP(E60,'2. AWARDS'!$F$7:$J$47,40,FALSE),0))/5*(HLOOKUP(E60,'2. AWARDS'!$F$7:$J$39,31,FALSE)*2)*AM60*AN60</f>
        <v>#N/A</v>
      </c>
      <c r="AS60" s="684"/>
      <c r="AT60" s="802">
        <v>0.04</v>
      </c>
      <c r="AU60" s="822">
        <f>'1. KEY DATA'!J$30</f>
        <v>0.09</v>
      </c>
      <c r="AV60" s="502"/>
      <c r="AW60" s="478">
        <f t="shared" si="60"/>
        <v>0</v>
      </c>
      <c r="AX60" s="502"/>
      <c r="AY60" s="998"/>
      <c r="AZ60" s="999"/>
      <c r="BA60" s="999"/>
      <c r="BB60" s="999"/>
      <c r="BC60" s="999"/>
      <c r="BD60" s="999"/>
      <c r="BE60" s="999"/>
      <c r="BF60" s="999"/>
      <c r="BG60" s="999"/>
      <c r="BH60" s="999"/>
      <c r="BI60" s="1020"/>
      <c r="BJ60" s="1020"/>
      <c r="BK60" s="1020"/>
      <c r="BL60" s="1021"/>
      <c r="BM60" s="301">
        <f t="shared" si="61"/>
        <v>1</v>
      </c>
      <c r="BO60" s="389" t="str">
        <f t="shared" si="65"/>
        <v>-</v>
      </c>
      <c r="BP60" s="384" t="str">
        <f t="shared" si="66"/>
        <v>-</v>
      </c>
      <c r="BQ60" s="384" t="str">
        <f t="shared" si="67"/>
        <v>-</v>
      </c>
      <c r="BR60" s="384" t="str">
        <f t="shared" si="68"/>
        <v>-</v>
      </c>
      <c r="BS60" s="384" t="str">
        <f t="shared" si="69"/>
        <v>-</v>
      </c>
      <c r="BT60" s="384" t="str">
        <f t="shared" si="70"/>
        <v>-</v>
      </c>
      <c r="BU60" s="384" t="str">
        <f t="shared" si="71"/>
        <v>-</v>
      </c>
      <c r="BV60" s="384" t="str">
        <f t="shared" si="72"/>
        <v>-</v>
      </c>
      <c r="BW60" s="384" t="str">
        <f t="shared" si="73"/>
        <v>-</v>
      </c>
      <c r="BX60" s="384" t="str">
        <f t="shared" si="74"/>
        <v>-</v>
      </c>
      <c r="BY60" s="385" t="str">
        <f t="shared" si="75"/>
        <v>-</v>
      </c>
      <c r="BZ60" s="385" t="str">
        <f t="shared" si="76"/>
        <v>-</v>
      </c>
      <c r="CA60" s="385" t="str">
        <f t="shared" si="77"/>
        <v>-</v>
      </c>
      <c r="CB60" s="390" t="str">
        <f t="shared" si="78"/>
        <v>-</v>
      </c>
    </row>
    <row r="61" spans="1:80">
      <c r="B61" s="231"/>
      <c r="C61" s="214"/>
      <c r="D61" s="699">
        <f t="shared" si="63"/>
        <v>0</v>
      </c>
      <c r="E61" s="626"/>
      <c r="F61" s="903"/>
      <c r="G61" s="625"/>
      <c r="H61" s="765"/>
      <c r="I61" s="1118"/>
      <c r="J61" s="1123"/>
      <c r="K61" s="1124"/>
      <c r="L61" s="1109"/>
      <c r="M61" s="689"/>
      <c r="N61" s="634"/>
      <c r="O61" s="634"/>
      <c r="P61" s="638">
        <f t="shared" si="79"/>
        <v>0.03</v>
      </c>
      <c r="Q61" s="634"/>
      <c r="R61" s="812" t="str">
        <f t="shared" si="57"/>
        <v>-</v>
      </c>
      <c r="S61" s="649"/>
      <c r="T61" s="768"/>
      <c r="U61" s="834"/>
      <c r="V61" s="772"/>
      <c r="W61" s="817">
        <f t="shared" si="58"/>
        <v>0</v>
      </c>
      <c r="X61" s="817">
        <f>IF(OR(E61=0,F61=0),0,IF(E61='2. AWARDS'!F$7,VLOOKUP(F61,'2. AWARDS'!$C$9:$F$35,4,FALSE),IF(E61='2. AWARDS'!G$7,VLOOKUP(F61,'2. AWARDS'!$C$9:$G$35,5,FALSE),IF(E61='2. AWARDS'!H$7,VLOOKUP(F61,'2. AWARDS'!$C$9:$H$35,6,FALSE),IF(E61='2. AWARDS'!I$7,VLOOKUP(F61,'2. AWARDS'!$C$9:$I$35,7,FALSE),VLOOKUP(F61,'2. AWARDS'!$C$9:$J$35,8,FALSE))))))</f>
        <v>0</v>
      </c>
      <c r="Y61" s="815">
        <f>IF(OR(E61=0,F61=0),0,IF(AND(N61=0,E61='2. AWARDS'!F$7,VLOOKUP(F61,'2. AWARDS'!$C$9:$O$35,9,FALSE)&lt;&gt;0),"date missing",IF(AND(N61=0,E61='2. AWARDS'!G$7,VLOOKUP(F61,'2. AWARDS'!$C$9:$O$35,10,FALSE)&lt;&gt;0),"date missing",IF(AND(N61=0,E61='2. AWARDS'!H$7,VLOOKUP(F61,'2. AWARDS'!$C$9:$O$35,11,FALSE)&lt;&gt;0),"date missing",IF(AND(N61=0,E61='2. AWARDS'!I$7,VLOOKUP(F61,'2. AWARDS'!$C$9:$O$35,12,FALSE)&lt;&gt;0),"date missing",IF(AND(N61=0,E61='2. AWARDS'!J$7,VLOOKUP(F61,'2. AWARDS'!$C$9:$O$35,13,FALSE)&lt;&gt;0),"date missing",IF(N61=0,0,IF(OR(N61=MIN(O61,Q61),AND(N61&lt;O61,N61&lt;Q61,N61&gt;0)),IF(E61='2. AWARDS'!F$7,VLOOKUP(F61,'2. AWARDS'!$C$9:$O$35,9,FALSE),IF(E61='2. AWARDS'!G$7,VLOOKUP(F61,'2. AWARDS'!$C$9:$O$35,10,FALSE),IF(E61='2. AWARDS'!H$7,VLOOKUP(F61,'2. AWARDS'!$C$9:$O$35,11,FALSE),IF(E61='2. AWARDS'!I$7,VLOOKUP(F61,'2. AWARDS'!$C$9:$O$35,12,FALSE),IF(E61='2. AWARDS'!J$7,VLOOKUP(F61,'2. AWARDS'!$C$9:$O$35,13,FALSE)))))),IF(AND(N61&gt;O61,N61&lt;Q61),IF(E61='2. AWARDS'!F$7,(1+P61)*VLOOKUP(F61,'2. AWARDS'!$C$9:$O$35,9,FALSE),IF(E61='2. AWARDS'!G$7,(1+P61)*VLOOKUP(F61,'2. AWARDS'!$C$9:$O$35,10,FALSE),IF(E61='2. AWARDS'!H$7,(1+P61)*VLOOKUP(F61,'2. AWARDS'!$C$9:$O$35,11,FALSE),IF(E61='2. AWARDS'!I$7,(1+P61)*VLOOKUP(F61,'2. AWARDS'!$C$9:$O$35,12,FALSE),IF(E61='2. AWARDS'!J$7,(1+P61)*VLOOKUP(F61,'2. AWARDS'!$C$9:$O$35,13,FALSE)))))),IF(AND(N61&lt;O61,N61&gt;Q61),IF(E61='2. AWARDS'!F$7,(1+(R61/9))*VLOOKUP(F61,'2. AWARDS'!$C$9:$O$35,9,FALSE),IF(E61='2. AWARDS'!G$7,(1+(R61/9))*VLOOKUP(F61,'2. AWARDS'!$C$9:$O$35,10,FALSE),IF(E61='2. AWARDS'!H$7,(1+(R61/9))*VLOOKUP(F61,'2. AWARDS'!$C$9:$O$35,11,FALSE),IF(E61='2. AWARDS'!I$7,(1+(R61/9))*VLOOKUP(F61,'2. AWARDS'!$C$9:$O$35,12,FALSE),IF(E61='2. AWARDS'!J$7,(1+(R61/9))*VLOOKUP(F61,'2. AWARDS'!$C$9:$O$35,13,FALSE)))))),IF(OR(N61=MAX(O61,Q61),AND(N61&gt;O61,N61&gt;Q61)),IF(E61='2. AWARDS'!F$7,((1+(R61/9))*(1+P61))*VLOOKUP(F61,'2. AWARDS'!$C$9:$O$35,9,FALSE),IF(E61='2. AWARDS'!G$7,((1+(R61/9))*(1+P61))*VLOOKUP(F61,'2. AWARDS'!$C$9:$O$35,10,FALSE),IF(E61='2. AWARDS'!H$7,((1+(R61/9))*(1+P61))*VLOOKUP(F61,'2. AWARDS'!$C$9:$O$35,11,FALSE),IF(E61='2. AWARDS'!I$7,((1+(R61/9))*(1+P61))*VLOOKUP(F61,'2. AWARDS'!$C$9:$O$35,12,FALSE),IF(E61='2. AWARDS'!J$7,((1+(R61/9))*(1+P61))*VLOOKUP(F61,'2. AWARDS'!$C$9:$O$35,13,FALSE)))))),"?")))))))))))</f>
        <v>0</v>
      </c>
      <c r="Z61" s="814" t="e">
        <f>IF(AND(E61='2. AWARDS'!F47,O61&gt;N61,O61&gt;Q61,VLOOKUP(F61,'2. AWARDS'!$C$9:$O$35,9,FALSE)&lt;&gt;0),VLOOKUP(F61,'2. AWARDS'!$C$9:$O$35,9,FALSE)*(1+P61)*(1+(R61/9)),IF(AND(E61='2. AWARDS'!F47,O61&gt;N61,O61&gt;Q61,VLOOKUP(F61,'2. AWARDS'!$C$9:$O$35,9,FALSE)=0),X61*(1+P61)*(1+(R61/9)),IF(AND(E61='2. AWARDS'!G47,O61&gt;N61,O61&gt;Q61,VLOOKUP(F61,'2. AWARDS'!$C$9:$O$35,10,FALSE)&lt;&gt;0),VLOOKUP(F61,'2. AWARDS'!$C$9:$O$35,10,FALSE)*(1+P61)*(1+(R61/9)),IF(AND(E61='2. AWARDS'!G47,O61&gt;N61,O61&gt;Q61,VLOOKUP(F61,'2. AWARDS'!$C$9:$O$35,10,FALSE)=0),X61*(1+P61)*(1+(R61/9)),IF(AND(E61='2. AWARDS'!H47,O61&gt;N61,O61&gt;Q61,VLOOKUP(F61,'2. AWARDS'!$C$9:$O$35,11,FALSE)&lt;&gt;0),VLOOKUP(F61,'2. AWARDS'!$C$9:$O$35,11,FALSE)*(1+P61)*(1+(R61/9)),IF(AND(E61='2. AWARDS'!H47,O61&gt;N61,O61&gt;Q61,VLOOKUP(F61,'2. AWARDS'!$C$9:$O$35,11,FALSE)=0),X61*(1+P61)*(1+(R61/9)),IF(AND(E61='2. AWARDS'!I47,O61&gt;N61,O61&gt;Q61,VLOOKUP(F61,'2. AWARDS'!$C$9:$O$35,12,FALSE)&lt;&gt;0),VLOOKUP(F61,'2. AWARDS'!$C$9:$O$35,12,FALSE)*(1+P61)*(1+(R61/9)),IF(AND(E61='2. AWARDS'!I47,O61&gt;N61,O61&gt;Q61,VLOOKUP(F61,'2. AWARDS'!$C$9:$O$35,12,FALSE)=0),X61*(1+P61)*(1+(R61/9)),IF(AND(E61='2. AWARDS'!J47,O61&gt;N61,O61&gt;Q61,VLOOKUP(F61,'2. AWARDS'!$C$9:$O$35,13,FALSE)&lt;&gt;0),VLOOKUP(F61,'2. AWARDS'!$C$9:$O$35,13,FALSE)*(1+P61)*(1+(R61/9)),IF(AND(E61='2. AWARDS'!J47,O61&gt;N61,O61&gt;Q61,VLOOKUP(F61,'2. AWARDS'!$C$9:$O$35,13,FALSE)=0),X61*(1+P61)*(1+(R61/9)),IF(AND(O61&lt;N61,O61&gt;Q61),X61*(1+P61)*(1+(R61/9)),IF(AND(E61='2. AWARDS'!F47,O61=MAX(N61,Q61),VLOOKUP(F61,'2. AWARDS'!$C$9:$O$35,9,FALSE)&lt;&gt;0),VLOOKUP(F61,'2. AWARDS'!$C$9:$O$35,9,FALSE)*(1+P61)*(1+(R61/9)),IF(AND(E61='2. AWARDS'!F47,O61=MAX(N61,Q61),VLOOKUP(F61,'2. AWARDS'!$C$9:$O$35,9,FALSE)=0),X61*(1+P61)*(1+(R61/9)),IF(AND(E61='2. AWARDS'!G47,O61=MAX(N61,Q61),VLOOKUP(F61,'2. AWARDS'!$C$9:$O$35,10,FALSE)&lt;&gt;0),VLOOKUP(F61,'2. AWARDS'!$C$9:$O$35,10,FALSE)*(1+P61)*(1+(R61/9)),IF(AND(E61='2. AWARDS'!G47,O61=MAX(N61,Q61),VLOOKUP(F61,'2. AWARDS'!$C$9:$O$35,10,FALSE)=0),X61*(1+P61)*(1+(R61/9)),IF(AND(E61='2. AWARDS'!H47,O61=MAX(N61,Q61),VLOOKUP(F61,'2. AWARDS'!$C$9:$O$35,11,FALSE)&lt;&gt;0),VLOOKUP(F61,'2. AWARDS'!$C$9:$O$35,11,FALSE)*(1+P61)*(1+(R61/9)),IF(AND(E61='2. AWARDS'!H47,O61=MAX(N61,Q61),VLOOKUP(F61,'2. AWARDS'!$C$9:$O$35,11,FALSE)=0),X61*(1+P61)*(1+(R61/9)),IF(AND(E61='2. AWARDS'!I47,O61=MAX(N61,Q61),VLOOKUP(F61,'2. AWARDS'!$C$9:$O$35,12,FALSE)&lt;&gt;0),VLOOKUP(F61,'2. AWARDS'!$C$9:$O$35,12,FALSE)*(1+P61)*(1+(R61/9)),IF(AND(E61='2. AWARDS'!I47,O61=MAX(N61,Q61),VLOOKUP(F61,'2. AWARDS'!$C$9:$O$35,12,FALSE)=0),X61*(1+P61)*(1+(R61/9)),IF(AND(E61='2. AWARDS'!J47,O61=MAX(N61,Q61),VLOOKUP(F61,'2. AWARDS'!$C$9:$O$35,13,FALSE)&lt;&gt;0),VLOOKUP(F61,'2. AWARDS'!$C$9:$O$35,13,FALSE)*(1+P61)*(1+(R61/9)),IF(AND(E61='2. AWARDS'!J47,O61=MAX(N61,Q61),VLOOKUP(F61,'2. AWARDS'!$C$9:$O$35,13,FALSE)=0),X61*(1+P61)*(1+(R61/9)),IF(AND(O61&lt;N61,O61&lt;Q61),X61*(1+P61),IF(AND(O61=N61,N61&lt;Q61,E61='2. AWARDS'!F47),VLOOKUP(F61,'2. AWARDS'!$C$9:$O$35,9,FALSE)*(1+P61),IF(AND(O61=N61,N61&lt;Q61,E61='2. AWARDS'!G47),VLOOKUP(F61,'2. AWARDS'!$C$9:$O$35,10,FALSE)*(1+P61),IF(AND(O61=N61,N61&lt;Q61,E61='2. AWARDS'!H47),VLOOKUP(F61,'2. AWARDS'!$C$9:$O$35,11,FALSE)*(1+P61),IF(AND(O61=N61,N61&lt;Q61,E61='2. AWARDS'!I47),VLOOKUP(F61,'2. AWARDS'!$C$9:$O$35,12,FALSE)*(1+P61),IF(AND(O61=N61,N61&lt;Q61,E61='2. AWARDS'!J47),VLOOKUP(F61,'2. AWARDS'!$C$9:$O$35,13,FALSE)*(1+P61),IF(AND(O61=Q61,N61&gt;Q61),X61*(1+P61)*(1+(R61/9)),IF(AND(E61='2. AWARDS'!F47,O61&gt;N61,O61&lt;Q61,VLOOKUP(F61,'2. AWARDS'!$C$9:$O$35,9,FALSE)&lt;&gt;0),VLOOKUP(F61,'2. AWARDS'!$C$9:$O$35,9,FALSE)*(1+P61),IF(AND(E61='2. AWARDS'!G47,O61&gt;N61,O61&lt;Q61,VLOOKUP(F61,'2. AWARDS'!$C$9:$O$35,10,FALSE)&lt;&gt;0),VLOOKUP(F61,'2. AWARDS'!$C$9:$O$35,10,FALSE)*(1+P61),IF(AND(E61='2. AWARDS'!H47,O61&gt;N61,O61&lt;Q61,VLOOKUP(F61,'2. AWARDS'!$C$9:$O$35,11,FALSE)&lt;&gt;0),VLOOKUP(F61,'2. AWARDS'!$C$9:$O$35,11,FALSE)*(1+P61),IF(AND(E61='2. AWARDS'!I47,O61&gt;N61,O61&lt;Q61,VLOOKUP(F61,'2. AWARDS'!$C$9:$O$35,12,FALSE)&lt;&gt;0),VLOOKUP(F61,'2. AWARDS'!$C$9:$O$35,12,FALSE)*(1+P61),IF(AND(E61='2. AWARDS'!J47,O61&gt;N61,O61&lt;Q61,VLOOKUP(F61,'2. AWARDS'!$C$9:$O$35,13,FALSE)&lt;&gt;0),VLOOKUP(F61,'2. AWARDS'!$C$9:$O$35,13,FALSE)*(1+P61),X61*(1+P61))))))))))))))))))))))))))))))))))</f>
        <v>#N/A</v>
      </c>
      <c r="AA61" s="816" t="e">
        <f t="shared" si="64"/>
        <v>#VALUE!</v>
      </c>
      <c r="AB61" s="684"/>
      <c r="AC61" s="776"/>
      <c r="AD61" s="776"/>
      <c r="AE61" s="779"/>
      <c r="AF61" s="1127">
        <f t="shared" si="59"/>
        <v>0</v>
      </c>
      <c r="AG61" s="781" t="e">
        <f>HLOOKUP(E61,'2. AWARDS'!$F$7:$J$40,32,FALSE)/5*HLOOKUP(E61,'2. AWARDS'!$F$7:$J$40,31,FALSE)*MAX(W61:AA61)*M61*HLOOKUP(E61,'2. AWARDS'!$F$7:$J$40,34,FALSE)*(L61/(38*2))</f>
        <v>#N/A</v>
      </c>
      <c r="AH61" s="786" t="e">
        <f>((HLOOKUP(E61,'2. AWARDS'!$F$7:$J$42,36,FALSE)/HLOOKUP(E61,'2. AWARDS'!$F$7:$J$42,35,FALSE)*HLOOKUP(E61,'2. AWARDS'!$F$7:$J$45,39,FALSE))/(HLOOKUP(E61,'2. AWARDS'!$F$7:$J$45,31,FALSE)*2)*L61*M61*HLOOKUP(E61,'2. AWARDS'!$F$7:$J$45,31,FALSE)*MAX(W61:AA61))</f>
        <v>#N/A</v>
      </c>
      <c r="AI61" s="682"/>
      <c r="AJ61" s="804"/>
      <c r="AK61" s="821"/>
      <c r="AL61" s="821"/>
      <c r="AM61" s="823"/>
      <c r="AN61" s="1012"/>
      <c r="AO61" s="843">
        <f>IF(AJ61="YES",HLOOKUP(E61,'2. AWARDS'!$F$7:$J$38,32,FALSE)/5*HLOOKUP(E61,'2. AWARDS'!$F$7:$J$37,31,FALSE)*L61/(HLOOKUP(E61,'2. AWARDS'!$F$7:$J$37,31,FALSE)*2)*M61*MAX(W61:AA61)*(1+HLOOKUP(E61,'2. AWARDS'!$F$7:$J$43,37,FALSE))*(1-AM61),0)</f>
        <v>0</v>
      </c>
      <c r="AP61" s="843">
        <f>IF(AK61="YES",HLOOKUP(E61,'2. AWARDS'!$F$7:$J$39,33,FALSE)/5*HLOOKUP(E61,'2. AWARDS'!$F$7:$J$37,31,FALSE)*L61/(HLOOKUP(E61,'2. AWARDS'!$F$7:$J$37,31,FALSE)*2)*M61*MAX(W61:AA61)*(1+HLOOKUP(E61,'2. AWARDS'!$F$7:$J$43,37,FALSE))*(1-AM61),0)</f>
        <v>0</v>
      </c>
      <c r="AQ61" s="843">
        <f>IF(AL61="YES",HLOOKUP(E61,'2. AWARDS'!$F$7:$J$47,40,FALSE)/5*HLOOKUP(E61,'2. AWARDS'!$F$7:$J$37,31,FALSE)*L61/(HLOOKUP(E61,'2. AWARDS'!$F$7:$J$37,31,FALSE)*2)*M61*MAX(W61:AA61)*(1+HLOOKUP(E61,'2. AWARDS'!$F$7:$J$43,37,FALSE))*(1-AM61),0)</f>
        <v>0</v>
      </c>
      <c r="AR61" s="844" t="e">
        <f>(IF(AJ61="YES",HLOOKUP(E61,'2. AWARDS'!$F$7:$J$39,32,FALSE),0)+IF(AK61="YES",HLOOKUP(E61,'2. AWARDS'!$F$7:$J$39,33,FALSE),0)+IF(AL61="YES",HLOOKUP(E61,'2. AWARDS'!$F$7:$J$47,40,FALSE),0))/5*(HLOOKUP(E61,'2. AWARDS'!$F$7:$J$39,31,FALSE)*2)*AM61*AN61</f>
        <v>#N/A</v>
      </c>
      <c r="AS61" s="684"/>
      <c r="AT61" s="802">
        <v>0.04</v>
      </c>
      <c r="AU61" s="822">
        <f>'1. KEY DATA'!J$30</f>
        <v>0.09</v>
      </c>
      <c r="AV61" s="502"/>
      <c r="AW61" s="478">
        <f t="shared" si="60"/>
        <v>0</v>
      </c>
      <c r="AX61" s="502"/>
      <c r="AY61" s="998"/>
      <c r="AZ61" s="999"/>
      <c r="BA61" s="999"/>
      <c r="BB61" s="999"/>
      <c r="BC61" s="999"/>
      <c r="BD61" s="999"/>
      <c r="BE61" s="999"/>
      <c r="BF61" s="999"/>
      <c r="BG61" s="999"/>
      <c r="BH61" s="999"/>
      <c r="BI61" s="1020"/>
      <c r="BJ61" s="1020"/>
      <c r="BK61" s="1020"/>
      <c r="BL61" s="1021"/>
      <c r="BM61" s="301">
        <f t="shared" si="61"/>
        <v>1</v>
      </c>
      <c r="BO61" s="389" t="str">
        <f t="shared" si="65"/>
        <v>-</v>
      </c>
      <c r="BP61" s="384" t="str">
        <f t="shared" si="66"/>
        <v>-</v>
      </c>
      <c r="BQ61" s="384" t="str">
        <f t="shared" si="67"/>
        <v>-</v>
      </c>
      <c r="BR61" s="384" t="str">
        <f t="shared" si="68"/>
        <v>-</v>
      </c>
      <c r="BS61" s="384" t="str">
        <f t="shared" si="69"/>
        <v>-</v>
      </c>
      <c r="BT61" s="384" t="str">
        <f t="shared" si="70"/>
        <v>-</v>
      </c>
      <c r="BU61" s="384" t="str">
        <f t="shared" si="71"/>
        <v>-</v>
      </c>
      <c r="BV61" s="384" t="str">
        <f t="shared" si="72"/>
        <v>-</v>
      </c>
      <c r="BW61" s="384" t="str">
        <f t="shared" si="73"/>
        <v>-</v>
      </c>
      <c r="BX61" s="384" t="str">
        <f t="shared" si="74"/>
        <v>-</v>
      </c>
      <c r="BY61" s="385" t="str">
        <f t="shared" si="75"/>
        <v>-</v>
      </c>
      <c r="BZ61" s="385" t="str">
        <f t="shared" si="76"/>
        <v>-</v>
      </c>
      <c r="CA61" s="385" t="str">
        <f t="shared" si="77"/>
        <v>-</v>
      </c>
      <c r="CB61" s="390" t="str">
        <f t="shared" si="78"/>
        <v>-</v>
      </c>
    </row>
    <row r="62" spans="1:80">
      <c r="B62" s="231"/>
      <c r="C62" s="214"/>
      <c r="D62" s="699">
        <f t="shared" si="63"/>
        <v>0</v>
      </c>
      <c r="E62" s="626"/>
      <c r="F62" s="903"/>
      <c r="G62" s="625"/>
      <c r="H62" s="765"/>
      <c r="I62" s="1118"/>
      <c r="J62" s="1123"/>
      <c r="K62" s="1124"/>
      <c r="L62" s="1109"/>
      <c r="M62" s="689"/>
      <c r="N62" s="634"/>
      <c r="O62" s="634"/>
      <c r="P62" s="638">
        <f t="shared" si="79"/>
        <v>0.03</v>
      </c>
      <c r="Q62" s="634"/>
      <c r="R62" s="812" t="str">
        <f t="shared" si="57"/>
        <v>-</v>
      </c>
      <c r="S62" s="649"/>
      <c r="T62" s="768"/>
      <c r="U62" s="834"/>
      <c r="V62" s="772"/>
      <c r="W62" s="817">
        <f t="shared" si="58"/>
        <v>0</v>
      </c>
      <c r="X62" s="817">
        <f>IF(OR(E62=0,F62=0),0,IF(E62='2. AWARDS'!F$7,VLOOKUP(F62,'2. AWARDS'!$C$9:$F$35,4,FALSE),IF(E62='2. AWARDS'!G$7,VLOOKUP(F62,'2. AWARDS'!$C$9:$G$35,5,FALSE),IF(E62='2. AWARDS'!H$7,VLOOKUP(F62,'2. AWARDS'!$C$9:$H$35,6,FALSE),IF(E62='2. AWARDS'!I$7,VLOOKUP(F62,'2. AWARDS'!$C$9:$I$35,7,FALSE),VLOOKUP(F62,'2. AWARDS'!$C$9:$J$35,8,FALSE))))))</f>
        <v>0</v>
      </c>
      <c r="Y62" s="815">
        <f>IF(OR(E62=0,F62=0),0,IF(AND(N62=0,E62='2. AWARDS'!F$7,VLOOKUP(F62,'2. AWARDS'!$C$9:$O$35,9,FALSE)&lt;&gt;0),"date missing",IF(AND(N62=0,E62='2. AWARDS'!G$7,VLOOKUP(F62,'2. AWARDS'!$C$9:$O$35,10,FALSE)&lt;&gt;0),"date missing",IF(AND(N62=0,E62='2. AWARDS'!H$7,VLOOKUP(F62,'2. AWARDS'!$C$9:$O$35,11,FALSE)&lt;&gt;0),"date missing",IF(AND(N62=0,E62='2. AWARDS'!I$7,VLOOKUP(F62,'2. AWARDS'!$C$9:$O$35,12,FALSE)&lt;&gt;0),"date missing",IF(AND(N62=0,E62='2. AWARDS'!J$7,VLOOKUP(F62,'2. AWARDS'!$C$9:$O$35,13,FALSE)&lt;&gt;0),"date missing",IF(N62=0,0,IF(OR(N62=MIN(O62,Q62),AND(N62&lt;O62,N62&lt;Q62,N62&gt;0)),IF(E62='2. AWARDS'!F$7,VLOOKUP(F62,'2. AWARDS'!$C$9:$O$35,9,FALSE),IF(E62='2. AWARDS'!G$7,VLOOKUP(F62,'2. AWARDS'!$C$9:$O$35,10,FALSE),IF(E62='2. AWARDS'!H$7,VLOOKUP(F62,'2. AWARDS'!$C$9:$O$35,11,FALSE),IF(E62='2. AWARDS'!I$7,VLOOKUP(F62,'2. AWARDS'!$C$9:$O$35,12,FALSE),IF(E62='2. AWARDS'!J$7,VLOOKUP(F62,'2. AWARDS'!$C$9:$O$35,13,FALSE)))))),IF(AND(N62&gt;O62,N62&lt;Q62),IF(E62='2. AWARDS'!F$7,(1+P62)*VLOOKUP(F62,'2. AWARDS'!$C$9:$O$35,9,FALSE),IF(E62='2. AWARDS'!G$7,(1+P62)*VLOOKUP(F62,'2. AWARDS'!$C$9:$O$35,10,FALSE),IF(E62='2. AWARDS'!H$7,(1+P62)*VLOOKUP(F62,'2. AWARDS'!$C$9:$O$35,11,FALSE),IF(E62='2. AWARDS'!I$7,(1+P62)*VLOOKUP(F62,'2. AWARDS'!$C$9:$O$35,12,FALSE),IF(E62='2. AWARDS'!J$7,(1+P62)*VLOOKUP(F62,'2. AWARDS'!$C$9:$O$35,13,FALSE)))))),IF(AND(N62&lt;O62,N62&gt;Q62),IF(E62='2. AWARDS'!F$7,(1+(R62/9))*VLOOKUP(F62,'2. AWARDS'!$C$9:$O$35,9,FALSE),IF(E62='2. AWARDS'!G$7,(1+(R62/9))*VLOOKUP(F62,'2. AWARDS'!$C$9:$O$35,10,FALSE),IF(E62='2. AWARDS'!H$7,(1+(R62/9))*VLOOKUP(F62,'2. AWARDS'!$C$9:$O$35,11,FALSE),IF(E62='2. AWARDS'!I$7,(1+(R62/9))*VLOOKUP(F62,'2. AWARDS'!$C$9:$O$35,12,FALSE),IF(E62='2. AWARDS'!J$7,(1+(R62/9))*VLOOKUP(F62,'2. AWARDS'!$C$9:$O$35,13,FALSE)))))),IF(OR(N62=MAX(O62,Q62),AND(N62&gt;O62,N62&gt;Q62)),IF(E62='2. AWARDS'!F$7,((1+(R62/9))*(1+P62))*VLOOKUP(F62,'2. AWARDS'!$C$9:$O$35,9,FALSE),IF(E62='2. AWARDS'!G$7,((1+(R62/9))*(1+P62))*VLOOKUP(F62,'2. AWARDS'!$C$9:$O$35,10,FALSE),IF(E62='2. AWARDS'!H$7,((1+(R62/9))*(1+P62))*VLOOKUP(F62,'2. AWARDS'!$C$9:$O$35,11,FALSE),IF(E62='2. AWARDS'!I$7,((1+(R62/9))*(1+P62))*VLOOKUP(F62,'2. AWARDS'!$C$9:$O$35,12,FALSE),IF(E62='2. AWARDS'!J$7,((1+(R62/9))*(1+P62))*VLOOKUP(F62,'2. AWARDS'!$C$9:$O$35,13,FALSE)))))),"?")))))))))))</f>
        <v>0</v>
      </c>
      <c r="Z62" s="814" t="e">
        <f>IF(AND(E62='2. AWARDS'!F48,O62&gt;N62,O62&gt;Q62,VLOOKUP(F62,'2. AWARDS'!$C$9:$O$35,9,FALSE)&lt;&gt;0),VLOOKUP(F62,'2. AWARDS'!$C$9:$O$35,9,FALSE)*(1+P62)*(1+(R62/9)),IF(AND(E62='2. AWARDS'!F48,O62&gt;N62,O62&gt;Q62,VLOOKUP(F62,'2. AWARDS'!$C$9:$O$35,9,FALSE)=0),X62*(1+P62)*(1+(R62/9)),IF(AND(E62='2. AWARDS'!G48,O62&gt;N62,O62&gt;Q62,VLOOKUP(F62,'2. AWARDS'!$C$9:$O$35,10,FALSE)&lt;&gt;0),VLOOKUP(F62,'2. AWARDS'!$C$9:$O$35,10,FALSE)*(1+P62)*(1+(R62/9)),IF(AND(E62='2. AWARDS'!G48,O62&gt;N62,O62&gt;Q62,VLOOKUP(F62,'2. AWARDS'!$C$9:$O$35,10,FALSE)=0),X62*(1+P62)*(1+(R62/9)),IF(AND(E62='2. AWARDS'!H48,O62&gt;N62,O62&gt;Q62,VLOOKUP(F62,'2. AWARDS'!$C$9:$O$35,11,FALSE)&lt;&gt;0),VLOOKUP(F62,'2. AWARDS'!$C$9:$O$35,11,FALSE)*(1+P62)*(1+(R62/9)),IF(AND(E62='2. AWARDS'!H48,O62&gt;N62,O62&gt;Q62,VLOOKUP(F62,'2. AWARDS'!$C$9:$O$35,11,FALSE)=0),X62*(1+P62)*(1+(R62/9)),IF(AND(E62='2. AWARDS'!I48,O62&gt;N62,O62&gt;Q62,VLOOKUP(F62,'2. AWARDS'!$C$9:$O$35,12,FALSE)&lt;&gt;0),VLOOKUP(F62,'2. AWARDS'!$C$9:$O$35,12,FALSE)*(1+P62)*(1+(R62/9)),IF(AND(E62='2. AWARDS'!I48,O62&gt;N62,O62&gt;Q62,VLOOKUP(F62,'2. AWARDS'!$C$9:$O$35,12,FALSE)=0),X62*(1+P62)*(1+(R62/9)),IF(AND(E62='2. AWARDS'!J48,O62&gt;N62,O62&gt;Q62,VLOOKUP(F62,'2. AWARDS'!$C$9:$O$35,13,FALSE)&lt;&gt;0),VLOOKUP(F62,'2. AWARDS'!$C$9:$O$35,13,FALSE)*(1+P62)*(1+(R62/9)),IF(AND(E62='2. AWARDS'!J48,O62&gt;N62,O62&gt;Q62,VLOOKUP(F62,'2. AWARDS'!$C$9:$O$35,13,FALSE)=0),X62*(1+P62)*(1+(R62/9)),IF(AND(O62&lt;N62,O62&gt;Q62),X62*(1+P62)*(1+(R62/9)),IF(AND(E62='2. AWARDS'!F48,O62=MAX(N62,Q62),VLOOKUP(F62,'2. AWARDS'!$C$9:$O$35,9,FALSE)&lt;&gt;0),VLOOKUP(F62,'2. AWARDS'!$C$9:$O$35,9,FALSE)*(1+P62)*(1+(R62/9)),IF(AND(E62='2. AWARDS'!F48,O62=MAX(N62,Q62),VLOOKUP(F62,'2. AWARDS'!$C$9:$O$35,9,FALSE)=0),X62*(1+P62)*(1+(R62/9)),IF(AND(E62='2. AWARDS'!G48,O62=MAX(N62,Q62),VLOOKUP(F62,'2. AWARDS'!$C$9:$O$35,10,FALSE)&lt;&gt;0),VLOOKUP(F62,'2. AWARDS'!$C$9:$O$35,10,FALSE)*(1+P62)*(1+(R62/9)),IF(AND(E62='2. AWARDS'!G48,O62=MAX(N62,Q62),VLOOKUP(F62,'2. AWARDS'!$C$9:$O$35,10,FALSE)=0),X62*(1+P62)*(1+(R62/9)),IF(AND(E62='2. AWARDS'!H48,O62=MAX(N62,Q62),VLOOKUP(F62,'2. AWARDS'!$C$9:$O$35,11,FALSE)&lt;&gt;0),VLOOKUP(F62,'2. AWARDS'!$C$9:$O$35,11,FALSE)*(1+P62)*(1+(R62/9)),IF(AND(E62='2. AWARDS'!H48,O62=MAX(N62,Q62),VLOOKUP(F62,'2. AWARDS'!$C$9:$O$35,11,FALSE)=0),X62*(1+P62)*(1+(R62/9)),IF(AND(E62='2. AWARDS'!I48,O62=MAX(N62,Q62),VLOOKUP(F62,'2. AWARDS'!$C$9:$O$35,12,FALSE)&lt;&gt;0),VLOOKUP(F62,'2. AWARDS'!$C$9:$O$35,12,FALSE)*(1+P62)*(1+(R62/9)),IF(AND(E62='2. AWARDS'!I48,O62=MAX(N62,Q62),VLOOKUP(F62,'2. AWARDS'!$C$9:$O$35,12,FALSE)=0),X62*(1+P62)*(1+(R62/9)),IF(AND(E62='2. AWARDS'!J48,O62=MAX(N62,Q62),VLOOKUP(F62,'2. AWARDS'!$C$9:$O$35,13,FALSE)&lt;&gt;0),VLOOKUP(F62,'2. AWARDS'!$C$9:$O$35,13,FALSE)*(1+P62)*(1+(R62/9)),IF(AND(E62='2. AWARDS'!J48,O62=MAX(N62,Q62),VLOOKUP(F62,'2. AWARDS'!$C$9:$O$35,13,FALSE)=0),X62*(1+P62)*(1+(R62/9)),IF(AND(O62&lt;N62,O62&lt;Q62),X62*(1+P62),IF(AND(O62=N62,N62&lt;Q62,E62='2. AWARDS'!F48),VLOOKUP(F62,'2. AWARDS'!$C$9:$O$35,9,FALSE)*(1+P62),IF(AND(O62=N62,N62&lt;Q62,E62='2. AWARDS'!G48),VLOOKUP(F62,'2. AWARDS'!$C$9:$O$35,10,FALSE)*(1+P62),IF(AND(O62=N62,N62&lt;Q62,E62='2. AWARDS'!H48),VLOOKUP(F62,'2. AWARDS'!$C$9:$O$35,11,FALSE)*(1+P62),IF(AND(O62=N62,N62&lt;Q62,E62='2. AWARDS'!I48),VLOOKUP(F62,'2. AWARDS'!$C$9:$O$35,12,FALSE)*(1+P62),IF(AND(O62=N62,N62&lt;Q62,E62='2. AWARDS'!J48),VLOOKUP(F62,'2. AWARDS'!$C$9:$O$35,13,FALSE)*(1+P62),IF(AND(O62=Q62,N62&gt;Q62),X62*(1+P62)*(1+(R62/9)),IF(AND(E62='2. AWARDS'!F48,O62&gt;N62,O62&lt;Q62,VLOOKUP(F62,'2. AWARDS'!$C$9:$O$35,9,FALSE)&lt;&gt;0),VLOOKUP(F62,'2. AWARDS'!$C$9:$O$35,9,FALSE)*(1+P62),IF(AND(E62='2. AWARDS'!G48,O62&gt;N62,O62&lt;Q62,VLOOKUP(F62,'2. AWARDS'!$C$9:$O$35,10,FALSE)&lt;&gt;0),VLOOKUP(F62,'2. AWARDS'!$C$9:$O$35,10,FALSE)*(1+P62),IF(AND(E62='2. AWARDS'!H48,O62&gt;N62,O62&lt;Q62,VLOOKUP(F62,'2. AWARDS'!$C$9:$O$35,11,FALSE)&lt;&gt;0),VLOOKUP(F62,'2. AWARDS'!$C$9:$O$35,11,FALSE)*(1+P62),IF(AND(E62='2. AWARDS'!I48,O62&gt;N62,O62&lt;Q62,VLOOKUP(F62,'2. AWARDS'!$C$9:$O$35,12,FALSE)&lt;&gt;0),VLOOKUP(F62,'2. AWARDS'!$C$9:$O$35,12,FALSE)*(1+P62),IF(AND(E62='2. AWARDS'!J48,O62&gt;N62,O62&lt;Q62,VLOOKUP(F62,'2. AWARDS'!$C$9:$O$35,13,FALSE)&lt;&gt;0),VLOOKUP(F62,'2. AWARDS'!$C$9:$O$35,13,FALSE)*(1+P62),X62*(1+P62))))))))))))))))))))))))))))))))))</f>
        <v>#N/A</v>
      </c>
      <c r="AA62" s="816" t="e">
        <f t="shared" si="64"/>
        <v>#VALUE!</v>
      </c>
      <c r="AB62" s="684"/>
      <c r="AC62" s="776"/>
      <c r="AD62" s="776"/>
      <c r="AE62" s="779"/>
      <c r="AF62" s="1127">
        <f t="shared" si="59"/>
        <v>0</v>
      </c>
      <c r="AG62" s="781" t="e">
        <f>HLOOKUP(E62,'2. AWARDS'!$F$7:$J$40,32,FALSE)/5*HLOOKUP(E62,'2. AWARDS'!$F$7:$J$40,31,FALSE)*MAX(W62:AA62)*M62*HLOOKUP(E62,'2. AWARDS'!$F$7:$J$40,34,FALSE)*(L62/(38*2))</f>
        <v>#N/A</v>
      </c>
      <c r="AH62" s="786" t="e">
        <f>((HLOOKUP(E62,'2. AWARDS'!$F$7:$J$42,36,FALSE)/HLOOKUP(E62,'2. AWARDS'!$F$7:$J$42,35,FALSE)*HLOOKUP(E62,'2. AWARDS'!$F$7:$J$45,39,FALSE))/(HLOOKUP(E62,'2. AWARDS'!$F$7:$J$45,31,FALSE)*2)*L62*M62*HLOOKUP(E62,'2. AWARDS'!$F$7:$J$45,31,FALSE)*MAX(W62:AA62))</f>
        <v>#N/A</v>
      </c>
      <c r="AI62" s="682"/>
      <c r="AJ62" s="804"/>
      <c r="AK62" s="821"/>
      <c r="AL62" s="821"/>
      <c r="AM62" s="823"/>
      <c r="AN62" s="1012"/>
      <c r="AO62" s="843">
        <f>IF(AJ62="YES",HLOOKUP(E62,'2. AWARDS'!$F$7:$J$38,32,FALSE)/5*HLOOKUP(E62,'2. AWARDS'!$F$7:$J$37,31,FALSE)*L62/(HLOOKUP(E62,'2. AWARDS'!$F$7:$J$37,31,FALSE)*2)*M62*MAX(W62:AA62)*(1+HLOOKUP(E62,'2. AWARDS'!$F$7:$J$43,37,FALSE))*(1-AM62),0)</f>
        <v>0</v>
      </c>
      <c r="AP62" s="843">
        <f>IF(AK62="YES",HLOOKUP(E62,'2. AWARDS'!$F$7:$J$39,33,FALSE)/5*HLOOKUP(E62,'2. AWARDS'!$F$7:$J$37,31,FALSE)*L62/(HLOOKUP(E62,'2. AWARDS'!$F$7:$J$37,31,FALSE)*2)*M62*MAX(W62:AA62)*(1+HLOOKUP(E62,'2. AWARDS'!$F$7:$J$43,37,FALSE))*(1-AM62),0)</f>
        <v>0</v>
      </c>
      <c r="AQ62" s="843">
        <f>IF(AL62="YES",HLOOKUP(E62,'2. AWARDS'!$F$7:$J$47,40,FALSE)/5*HLOOKUP(E62,'2. AWARDS'!$F$7:$J$37,31,FALSE)*L62/(HLOOKUP(E62,'2. AWARDS'!$F$7:$J$37,31,FALSE)*2)*M62*MAX(W62:AA62)*(1+HLOOKUP(E62,'2. AWARDS'!$F$7:$J$43,37,FALSE))*(1-AM62),0)</f>
        <v>0</v>
      </c>
      <c r="AR62" s="844" t="e">
        <f>(IF(AJ62="YES",HLOOKUP(E62,'2. AWARDS'!$F$7:$J$39,32,FALSE),0)+IF(AK62="YES",HLOOKUP(E62,'2. AWARDS'!$F$7:$J$39,33,FALSE),0)+IF(AL62="YES",HLOOKUP(E62,'2. AWARDS'!$F$7:$J$47,40,FALSE),0))/5*(HLOOKUP(E62,'2. AWARDS'!$F$7:$J$39,31,FALSE)*2)*AM62*AN62</f>
        <v>#N/A</v>
      </c>
      <c r="AS62" s="684"/>
      <c r="AT62" s="802">
        <v>0.04</v>
      </c>
      <c r="AU62" s="822">
        <f>'1. KEY DATA'!J$30</f>
        <v>0.09</v>
      </c>
      <c r="AV62" s="502"/>
      <c r="AW62" s="478">
        <f t="shared" si="60"/>
        <v>0</v>
      </c>
      <c r="AX62" s="502"/>
      <c r="AY62" s="998"/>
      <c r="AZ62" s="999"/>
      <c r="BA62" s="999"/>
      <c r="BB62" s="999"/>
      <c r="BC62" s="999"/>
      <c r="BD62" s="999"/>
      <c r="BE62" s="999"/>
      <c r="BF62" s="999"/>
      <c r="BG62" s="999"/>
      <c r="BH62" s="999"/>
      <c r="BI62" s="1020"/>
      <c r="BJ62" s="1020"/>
      <c r="BK62" s="1020"/>
      <c r="BL62" s="1021"/>
      <c r="BM62" s="301">
        <f t="shared" si="61"/>
        <v>1</v>
      </c>
      <c r="BO62" s="389" t="str">
        <f t="shared" si="65"/>
        <v>-</v>
      </c>
      <c r="BP62" s="384" t="str">
        <f t="shared" si="66"/>
        <v>-</v>
      </c>
      <c r="BQ62" s="384" t="str">
        <f t="shared" si="67"/>
        <v>-</v>
      </c>
      <c r="BR62" s="384" t="str">
        <f t="shared" si="68"/>
        <v>-</v>
      </c>
      <c r="BS62" s="384" t="str">
        <f t="shared" si="69"/>
        <v>-</v>
      </c>
      <c r="BT62" s="384" t="str">
        <f t="shared" si="70"/>
        <v>-</v>
      </c>
      <c r="BU62" s="384" t="str">
        <f t="shared" si="71"/>
        <v>-</v>
      </c>
      <c r="BV62" s="384" t="str">
        <f t="shared" si="72"/>
        <v>-</v>
      </c>
      <c r="BW62" s="384" t="str">
        <f t="shared" si="73"/>
        <v>-</v>
      </c>
      <c r="BX62" s="384" t="str">
        <f t="shared" si="74"/>
        <v>-</v>
      </c>
      <c r="BY62" s="385" t="str">
        <f t="shared" si="75"/>
        <v>-</v>
      </c>
      <c r="BZ62" s="385" t="str">
        <f t="shared" si="76"/>
        <v>-</v>
      </c>
      <c r="CA62" s="385" t="str">
        <f t="shared" si="77"/>
        <v>-</v>
      </c>
      <c r="CB62" s="390" t="str">
        <f t="shared" si="78"/>
        <v>-</v>
      </c>
    </row>
    <row r="63" spans="1:80">
      <c r="B63" s="231"/>
      <c r="C63" s="214"/>
      <c r="D63" s="699">
        <f t="shared" si="63"/>
        <v>0</v>
      </c>
      <c r="E63" s="626"/>
      <c r="F63" s="903"/>
      <c r="G63" s="625"/>
      <c r="H63" s="765"/>
      <c r="I63" s="1118"/>
      <c r="J63" s="1123"/>
      <c r="K63" s="1124"/>
      <c r="L63" s="1109"/>
      <c r="M63" s="689"/>
      <c r="N63" s="634"/>
      <c r="O63" s="634"/>
      <c r="P63" s="638">
        <f t="shared" si="79"/>
        <v>0.03</v>
      </c>
      <c r="Q63" s="634"/>
      <c r="R63" s="812" t="str">
        <f t="shared" si="57"/>
        <v>-</v>
      </c>
      <c r="S63" s="649"/>
      <c r="T63" s="768"/>
      <c r="U63" s="834"/>
      <c r="V63" s="772"/>
      <c r="W63" s="817">
        <f t="shared" si="58"/>
        <v>0</v>
      </c>
      <c r="X63" s="817">
        <f>IF(OR(E63=0,F63=0),0,IF(E63='2. AWARDS'!F$7,VLOOKUP(F63,'2. AWARDS'!$C$9:$F$35,4,FALSE),IF(E63='2. AWARDS'!G$7,VLOOKUP(F63,'2. AWARDS'!$C$9:$G$35,5,FALSE),IF(E63='2. AWARDS'!H$7,VLOOKUP(F63,'2. AWARDS'!$C$9:$H$35,6,FALSE),IF(E63='2. AWARDS'!I$7,VLOOKUP(F63,'2. AWARDS'!$C$9:$I$35,7,FALSE),VLOOKUP(F63,'2. AWARDS'!$C$9:$J$35,8,FALSE))))))</f>
        <v>0</v>
      </c>
      <c r="Y63" s="815">
        <f>IF(OR(E63=0,F63=0),0,IF(AND(N63=0,E63='2. AWARDS'!F$7,VLOOKUP(F63,'2. AWARDS'!$C$9:$O$35,9,FALSE)&lt;&gt;0),"date missing",IF(AND(N63=0,E63='2. AWARDS'!G$7,VLOOKUP(F63,'2. AWARDS'!$C$9:$O$35,10,FALSE)&lt;&gt;0),"date missing",IF(AND(N63=0,E63='2. AWARDS'!H$7,VLOOKUP(F63,'2. AWARDS'!$C$9:$O$35,11,FALSE)&lt;&gt;0),"date missing",IF(AND(N63=0,E63='2. AWARDS'!I$7,VLOOKUP(F63,'2. AWARDS'!$C$9:$O$35,12,FALSE)&lt;&gt;0),"date missing",IF(AND(N63=0,E63='2. AWARDS'!J$7,VLOOKUP(F63,'2. AWARDS'!$C$9:$O$35,13,FALSE)&lt;&gt;0),"date missing",IF(N63=0,0,IF(OR(N63=MIN(O63,Q63),AND(N63&lt;O63,N63&lt;Q63,N63&gt;0)),IF(E63='2. AWARDS'!F$7,VLOOKUP(F63,'2. AWARDS'!$C$9:$O$35,9,FALSE),IF(E63='2. AWARDS'!G$7,VLOOKUP(F63,'2. AWARDS'!$C$9:$O$35,10,FALSE),IF(E63='2. AWARDS'!H$7,VLOOKUP(F63,'2. AWARDS'!$C$9:$O$35,11,FALSE),IF(E63='2. AWARDS'!I$7,VLOOKUP(F63,'2. AWARDS'!$C$9:$O$35,12,FALSE),IF(E63='2. AWARDS'!J$7,VLOOKUP(F63,'2. AWARDS'!$C$9:$O$35,13,FALSE)))))),IF(AND(N63&gt;O63,N63&lt;Q63),IF(E63='2. AWARDS'!F$7,(1+P63)*VLOOKUP(F63,'2. AWARDS'!$C$9:$O$35,9,FALSE),IF(E63='2. AWARDS'!G$7,(1+P63)*VLOOKUP(F63,'2. AWARDS'!$C$9:$O$35,10,FALSE),IF(E63='2. AWARDS'!H$7,(1+P63)*VLOOKUP(F63,'2. AWARDS'!$C$9:$O$35,11,FALSE),IF(E63='2. AWARDS'!I$7,(1+P63)*VLOOKUP(F63,'2. AWARDS'!$C$9:$O$35,12,FALSE),IF(E63='2. AWARDS'!J$7,(1+P63)*VLOOKUP(F63,'2. AWARDS'!$C$9:$O$35,13,FALSE)))))),IF(AND(N63&lt;O63,N63&gt;Q63),IF(E63='2. AWARDS'!F$7,(1+(R63/9))*VLOOKUP(F63,'2. AWARDS'!$C$9:$O$35,9,FALSE),IF(E63='2. AWARDS'!G$7,(1+(R63/9))*VLOOKUP(F63,'2. AWARDS'!$C$9:$O$35,10,FALSE),IF(E63='2. AWARDS'!H$7,(1+(R63/9))*VLOOKUP(F63,'2. AWARDS'!$C$9:$O$35,11,FALSE),IF(E63='2. AWARDS'!I$7,(1+(R63/9))*VLOOKUP(F63,'2. AWARDS'!$C$9:$O$35,12,FALSE),IF(E63='2. AWARDS'!J$7,(1+(R63/9))*VLOOKUP(F63,'2. AWARDS'!$C$9:$O$35,13,FALSE)))))),IF(OR(N63=MAX(O63,Q63),AND(N63&gt;O63,N63&gt;Q63)),IF(E63='2. AWARDS'!F$7,((1+(R63/9))*(1+P63))*VLOOKUP(F63,'2. AWARDS'!$C$9:$O$35,9,FALSE),IF(E63='2. AWARDS'!G$7,((1+(R63/9))*(1+P63))*VLOOKUP(F63,'2. AWARDS'!$C$9:$O$35,10,FALSE),IF(E63='2. AWARDS'!H$7,((1+(R63/9))*(1+P63))*VLOOKUP(F63,'2. AWARDS'!$C$9:$O$35,11,FALSE),IF(E63='2. AWARDS'!I$7,((1+(R63/9))*(1+P63))*VLOOKUP(F63,'2. AWARDS'!$C$9:$O$35,12,FALSE),IF(E63='2. AWARDS'!J$7,((1+(R63/9))*(1+P63))*VLOOKUP(F63,'2. AWARDS'!$C$9:$O$35,13,FALSE)))))),"?")))))))))))</f>
        <v>0</v>
      </c>
      <c r="Z63" s="814" t="e">
        <f>IF(AND(E63='2. AWARDS'!F49,O63&gt;N63,O63&gt;Q63,VLOOKUP(F63,'2. AWARDS'!$C$9:$O$35,9,FALSE)&lt;&gt;0),VLOOKUP(F63,'2. AWARDS'!$C$9:$O$35,9,FALSE)*(1+P63)*(1+(R63/9)),IF(AND(E63='2. AWARDS'!F49,O63&gt;N63,O63&gt;Q63,VLOOKUP(F63,'2. AWARDS'!$C$9:$O$35,9,FALSE)=0),X63*(1+P63)*(1+(R63/9)),IF(AND(E63='2. AWARDS'!G49,O63&gt;N63,O63&gt;Q63,VLOOKUP(F63,'2. AWARDS'!$C$9:$O$35,10,FALSE)&lt;&gt;0),VLOOKUP(F63,'2. AWARDS'!$C$9:$O$35,10,FALSE)*(1+P63)*(1+(R63/9)),IF(AND(E63='2. AWARDS'!G49,O63&gt;N63,O63&gt;Q63,VLOOKUP(F63,'2. AWARDS'!$C$9:$O$35,10,FALSE)=0),X63*(1+P63)*(1+(R63/9)),IF(AND(E63='2. AWARDS'!H49,O63&gt;N63,O63&gt;Q63,VLOOKUP(F63,'2. AWARDS'!$C$9:$O$35,11,FALSE)&lt;&gt;0),VLOOKUP(F63,'2. AWARDS'!$C$9:$O$35,11,FALSE)*(1+P63)*(1+(R63/9)),IF(AND(E63='2. AWARDS'!H49,O63&gt;N63,O63&gt;Q63,VLOOKUP(F63,'2. AWARDS'!$C$9:$O$35,11,FALSE)=0),X63*(1+P63)*(1+(R63/9)),IF(AND(E63='2. AWARDS'!I49,O63&gt;N63,O63&gt;Q63,VLOOKUP(F63,'2. AWARDS'!$C$9:$O$35,12,FALSE)&lt;&gt;0),VLOOKUP(F63,'2. AWARDS'!$C$9:$O$35,12,FALSE)*(1+P63)*(1+(R63/9)),IF(AND(E63='2. AWARDS'!I49,O63&gt;N63,O63&gt;Q63,VLOOKUP(F63,'2. AWARDS'!$C$9:$O$35,12,FALSE)=0),X63*(1+P63)*(1+(R63/9)),IF(AND(E63='2. AWARDS'!J49,O63&gt;N63,O63&gt;Q63,VLOOKUP(F63,'2. AWARDS'!$C$9:$O$35,13,FALSE)&lt;&gt;0),VLOOKUP(F63,'2. AWARDS'!$C$9:$O$35,13,FALSE)*(1+P63)*(1+(R63/9)),IF(AND(E63='2. AWARDS'!J49,O63&gt;N63,O63&gt;Q63,VLOOKUP(F63,'2. AWARDS'!$C$9:$O$35,13,FALSE)=0),X63*(1+P63)*(1+(R63/9)),IF(AND(O63&lt;N63,O63&gt;Q63),X63*(1+P63)*(1+(R63/9)),IF(AND(E63='2. AWARDS'!F49,O63=MAX(N63,Q63),VLOOKUP(F63,'2. AWARDS'!$C$9:$O$35,9,FALSE)&lt;&gt;0),VLOOKUP(F63,'2. AWARDS'!$C$9:$O$35,9,FALSE)*(1+P63)*(1+(R63/9)),IF(AND(E63='2. AWARDS'!F49,O63=MAX(N63,Q63),VLOOKUP(F63,'2. AWARDS'!$C$9:$O$35,9,FALSE)=0),X63*(1+P63)*(1+(R63/9)),IF(AND(E63='2. AWARDS'!G49,O63=MAX(N63,Q63),VLOOKUP(F63,'2. AWARDS'!$C$9:$O$35,10,FALSE)&lt;&gt;0),VLOOKUP(F63,'2. AWARDS'!$C$9:$O$35,10,FALSE)*(1+P63)*(1+(R63/9)),IF(AND(E63='2. AWARDS'!G49,O63=MAX(N63,Q63),VLOOKUP(F63,'2. AWARDS'!$C$9:$O$35,10,FALSE)=0),X63*(1+P63)*(1+(R63/9)),IF(AND(E63='2. AWARDS'!H49,O63=MAX(N63,Q63),VLOOKUP(F63,'2. AWARDS'!$C$9:$O$35,11,FALSE)&lt;&gt;0),VLOOKUP(F63,'2. AWARDS'!$C$9:$O$35,11,FALSE)*(1+P63)*(1+(R63/9)),IF(AND(E63='2. AWARDS'!H49,O63=MAX(N63,Q63),VLOOKUP(F63,'2. AWARDS'!$C$9:$O$35,11,FALSE)=0),X63*(1+P63)*(1+(R63/9)),IF(AND(E63='2. AWARDS'!I49,O63=MAX(N63,Q63),VLOOKUP(F63,'2. AWARDS'!$C$9:$O$35,12,FALSE)&lt;&gt;0),VLOOKUP(F63,'2. AWARDS'!$C$9:$O$35,12,FALSE)*(1+P63)*(1+(R63/9)),IF(AND(E63='2. AWARDS'!I49,O63=MAX(N63,Q63),VLOOKUP(F63,'2. AWARDS'!$C$9:$O$35,12,FALSE)=0),X63*(1+P63)*(1+(R63/9)),IF(AND(E63='2. AWARDS'!J49,O63=MAX(N63,Q63),VLOOKUP(F63,'2. AWARDS'!$C$9:$O$35,13,FALSE)&lt;&gt;0),VLOOKUP(F63,'2. AWARDS'!$C$9:$O$35,13,FALSE)*(1+P63)*(1+(R63/9)),IF(AND(E63='2. AWARDS'!J49,O63=MAX(N63,Q63),VLOOKUP(F63,'2. AWARDS'!$C$9:$O$35,13,FALSE)=0),X63*(1+P63)*(1+(R63/9)),IF(AND(O63&lt;N63,O63&lt;Q63),X63*(1+P63),IF(AND(O63=N63,N63&lt;Q63,E63='2. AWARDS'!F49),VLOOKUP(F63,'2. AWARDS'!$C$9:$O$35,9,FALSE)*(1+P63),IF(AND(O63=N63,N63&lt;Q63,E63='2. AWARDS'!G49),VLOOKUP(F63,'2. AWARDS'!$C$9:$O$35,10,FALSE)*(1+P63),IF(AND(O63=N63,N63&lt;Q63,E63='2. AWARDS'!H49),VLOOKUP(F63,'2. AWARDS'!$C$9:$O$35,11,FALSE)*(1+P63),IF(AND(O63=N63,N63&lt;Q63,E63='2. AWARDS'!I49),VLOOKUP(F63,'2. AWARDS'!$C$9:$O$35,12,FALSE)*(1+P63),IF(AND(O63=N63,N63&lt;Q63,E63='2. AWARDS'!J49),VLOOKUP(F63,'2. AWARDS'!$C$9:$O$35,13,FALSE)*(1+P63),IF(AND(O63=Q63,N63&gt;Q63),X63*(1+P63)*(1+(R63/9)),IF(AND(E63='2. AWARDS'!F49,O63&gt;N63,O63&lt;Q63,VLOOKUP(F63,'2. AWARDS'!$C$9:$O$35,9,FALSE)&lt;&gt;0),VLOOKUP(F63,'2. AWARDS'!$C$9:$O$35,9,FALSE)*(1+P63),IF(AND(E63='2. AWARDS'!G49,O63&gt;N63,O63&lt;Q63,VLOOKUP(F63,'2. AWARDS'!$C$9:$O$35,10,FALSE)&lt;&gt;0),VLOOKUP(F63,'2. AWARDS'!$C$9:$O$35,10,FALSE)*(1+P63),IF(AND(E63='2. AWARDS'!H49,O63&gt;N63,O63&lt;Q63,VLOOKUP(F63,'2. AWARDS'!$C$9:$O$35,11,FALSE)&lt;&gt;0),VLOOKUP(F63,'2. AWARDS'!$C$9:$O$35,11,FALSE)*(1+P63),IF(AND(E63='2. AWARDS'!I49,O63&gt;N63,O63&lt;Q63,VLOOKUP(F63,'2. AWARDS'!$C$9:$O$35,12,FALSE)&lt;&gt;0),VLOOKUP(F63,'2. AWARDS'!$C$9:$O$35,12,FALSE)*(1+P63),IF(AND(E63='2. AWARDS'!J49,O63&gt;N63,O63&lt;Q63,VLOOKUP(F63,'2. AWARDS'!$C$9:$O$35,13,FALSE)&lt;&gt;0),VLOOKUP(F63,'2. AWARDS'!$C$9:$O$35,13,FALSE)*(1+P63),X63*(1+P63))))))))))))))))))))))))))))))))))</f>
        <v>#N/A</v>
      </c>
      <c r="AA63" s="816" t="e">
        <f t="shared" si="64"/>
        <v>#VALUE!</v>
      </c>
      <c r="AB63" s="684"/>
      <c r="AC63" s="776"/>
      <c r="AD63" s="776"/>
      <c r="AE63" s="779"/>
      <c r="AF63" s="1127">
        <f t="shared" si="59"/>
        <v>0</v>
      </c>
      <c r="AG63" s="781" t="e">
        <f>HLOOKUP(E63,'2. AWARDS'!$F$7:$J$40,32,FALSE)/5*HLOOKUP(E63,'2. AWARDS'!$F$7:$J$40,31,FALSE)*MAX(W63:AA63)*M63*HLOOKUP(E63,'2. AWARDS'!$F$7:$J$40,34,FALSE)*(L63/(38*2))</f>
        <v>#N/A</v>
      </c>
      <c r="AH63" s="786" t="e">
        <f>((HLOOKUP(E63,'2. AWARDS'!$F$7:$J$42,36,FALSE)/HLOOKUP(E63,'2. AWARDS'!$F$7:$J$42,35,FALSE)*HLOOKUP(E63,'2. AWARDS'!$F$7:$J$45,39,FALSE))/(HLOOKUP(E63,'2. AWARDS'!$F$7:$J$45,31,FALSE)*2)*L63*M63*HLOOKUP(E63,'2. AWARDS'!$F$7:$J$45,31,FALSE)*MAX(W63:AA63))</f>
        <v>#N/A</v>
      </c>
      <c r="AI63" s="682"/>
      <c r="AJ63" s="804"/>
      <c r="AK63" s="821"/>
      <c r="AL63" s="821"/>
      <c r="AM63" s="823"/>
      <c r="AN63" s="1012"/>
      <c r="AO63" s="843">
        <f>IF(AJ63="YES",HLOOKUP(E63,'2. AWARDS'!$F$7:$J$38,32,FALSE)/5*HLOOKUP(E63,'2. AWARDS'!$F$7:$J$37,31,FALSE)*L63/(HLOOKUP(E63,'2. AWARDS'!$F$7:$J$37,31,FALSE)*2)*M63*MAX(W63:AA63)*(1+HLOOKUP(E63,'2. AWARDS'!$F$7:$J$43,37,FALSE))*(1-AM63),0)</f>
        <v>0</v>
      </c>
      <c r="AP63" s="843">
        <f>IF(AK63="YES",HLOOKUP(E63,'2. AWARDS'!$F$7:$J$39,33,FALSE)/5*HLOOKUP(E63,'2. AWARDS'!$F$7:$J$37,31,FALSE)*L63/(HLOOKUP(E63,'2. AWARDS'!$F$7:$J$37,31,FALSE)*2)*M63*MAX(W63:AA63)*(1+HLOOKUP(E63,'2. AWARDS'!$F$7:$J$43,37,FALSE))*(1-AM63),0)</f>
        <v>0</v>
      </c>
      <c r="AQ63" s="843">
        <f>IF(AL63="YES",HLOOKUP(E63,'2. AWARDS'!$F$7:$J$47,40,FALSE)/5*HLOOKUP(E63,'2. AWARDS'!$F$7:$J$37,31,FALSE)*L63/(HLOOKUP(E63,'2. AWARDS'!$F$7:$J$37,31,FALSE)*2)*M63*MAX(W63:AA63)*(1+HLOOKUP(E63,'2. AWARDS'!$F$7:$J$43,37,FALSE))*(1-AM63),0)</f>
        <v>0</v>
      </c>
      <c r="AR63" s="844" t="e">
        <f>(IF(AJ63="YES",HLOOKUP(E63,'2. AWARDS'!$F$7:$J$39,32,FALSE),0)+IF(AK63="YES",HLOOKUP(E63,'2. AWARDS'!$F$7:$J$39,33,FALSE),0)+IF(AL63="YES",HLOOKUP(E63,'2. AWARDS'!$F$7:$J$47,40,FALSE),0))/5*(HLOOKUP(E63,'2. AWARDS'!$F$7:$J$39,31,FALSE)*2)*AM63*AN63</f>
        <v>#N/A</v>
      </c>
      <c r="AS63" s="684"/>
      <c r="AT63" s="802">
        <v>0.04</v>
      </c>
      <c r="AU63" s="822">
        <f>'1. KEY DATA'!J$30</f>
        <v>0.09</v>
      </c>
      <c r="AV63" s="502"/>
      <c r="AW63" s="478">
        <f t="shared" si="60"/>
        <v>0</v>
      </c>
      <c r="AX63" s="502"/>
      <c r="AY63" s="998"/>
      <c r="AZ63" s="999"/>
      <c r="BA63" s="999"/>
      <c r="BB63" s="999"/>
      <c r="BC63" s="999"/>
      <c r="BD63" s="999"/>
      <c r="BE63" s="999"/>
      <c r="BF63" s="999"/>
      <c r="BG63" s="999"/>
      <c r="BH63" s="999"/>
      <c r="BI63" s="1020"/>
      <c r="BJ63" s="1020"/>
      <c r="BK63" s="1020"/>
      <c r="BL63" s="1021"/>
      <c r="BM63" s="301">
        <f t="shared" si="61"/>
        <v>1</v>
      </c>
      <c r="BO63" s="389" t="str">
        <f t="shared" si="65"/>
        <v>-</v>
      </c>
      <c r="BP63" s="384" t="str">
        <f t="shared" si="66"/>
        <v>-</v>
      </c>
      <c r="BQ63" s="384" t="str">
        <f t="shared" si="67"/>
        <v>-</v>
      </c>
      <c r="BR63" s="384" t="str">
        <f t="shared" si="68"/>
        <v>-</v>
      </c>
      <c r="BS63" s="384" t="str">
        <f t="shared" si="69"/>
        <v>-</v>
      </c>
      <c r="BT63" s="384" t="str">
        <f t="shared" si="70"/>
        <v>-</v>
      </c>
      <c r="BU63" s="384" t="str">
        <f t="shared" si="71"/>
        <v>-</v>
      </c>
      <c r="BV63" s="384" t="str">
        <f t="shared" si="72"/>
        <v>-</v>
      </c>
      <c r="BW63" s="384" t="str">
        <f t="shared" si="73"/>
        <v>-</v>
      </c>
      <c r="BX63" s="384" t="str">
        <f t="shared" si="74"/>
        <v>-</v>
      </c>
      <c r="BY63" s="385" t="str">
        <f t="shared" si="75"/>
        <v>-</v>
      </c>
      <c r="BZ63" s="385" t="str">
        <f t="shared" si="76"/>
        <v>-</v>
      </c>
      <c r="CA63" s="385" t="str">
        <f t="shared" si="77"/>
        <v>-</v>
      </c>
      <c r="CB63" s="390" t="str">
        <f t="shared" si="78"/>
        <v>-</v>
      </c>
    </row>
    <row r="64" spans="1:80">
      <c r="B64" s="231"/>
      <c r="C64" s="214"/>
      <c r="D64" s="699">
        <f t="shared" si="63"/>
        <v>0</v>
      </c>
      <c r="E64" s="626"/>
      <c r="F64" s="903"/>
      <c r="G64" s="625"/>
      <c r="H64" s="765"/>
      <c r="I64" s="1118"/>
      <c r="J64" s="1123"/>
      <c r="K64" s="1124"/>
      <c r="L64" s="1109"/>
      <c r="M64" s="689"/>
      <c r="N64" s="634"/>
      <c r="O64" s="634"/>
      <c r="P64" s="638">
        <f t="shared" si="79"/>
        <v>0.03</v>
      </c>
      <c r="Q64" s="634"/>
      <c r="R64" s="812" t="str">
        <f t="shared" si="57"/>
        <v>-</v>
      </c>
      <c r="S64" s="649"/>
      <c r="T64" s="768"/>
      <c r="U64" s="834"/>
      <c r="V64" s="772"/>
      <c r="W64" s="817">
        <f t="shared" si="58"/>
        <v>0</v>
      </c>
      <c r="X64" s="817">
        <f>IF(OR(E64=0,F64=0),0,IF(E64='2. AWARDS'!F$7,VLOOKUP(F64,'2. AWARDS'!$C$9:$F$35,4,FALSE),IF(E64='2. AWARDS'!G$7,VLOOKUP(F64,'2. AWARDS'!$C$9:$G$35,5,FALSE),IF(E64='2. AWARDS'!H$7,VLOOKUP(F64,'2. AWARDS'!$C$9:$H$35,6,FALSE),IF(E64='2. AWARDS'!I$7,VLOOKUP(F64,'2. AWARDS'!$C$9:$I$35,7,FALSE),VLOOKUP(F64,'2. AWARDS'!$C$9:$J$35,8,FALSE))))))</f>
        <v>0</v>
      </c>
      <c r="Y64" s="815">
        <f>IF(OR(E64=0,F64=0),0,IF(AND(N64=0,E64='2. AWARDS'!F$7,VLOOKUP(F64,'2. AWARDS'!$C$9:$O$35,9,FALSE)&lt;&gt;0),"date missing",IF(AND(N64=0,E64='2. AWARDS'!G$7,VLOOKUP(F64,'2. AWARDS'!$C$9:$O$35,10,FALSE)&lt;&gt;0),"date missing",IF(AND(N64=0,E64='2. AWARDS'!H$7,VLOOKUP(F64,'2. AWARDS'!$C$9:$O$35,11,FALSE)&lt;&gt;0),"date missing",IF(AND(N64=0,E64='2. AWARDS'!I$7,VLOOKUP(F64,'2. AWARDS'!$C$9:$O$35,12,FALSE)&lt;&gt;0),"date missing",IF(AND(N64=0,E64='2. AWARDS'!J$7,VLOOKUP(F64,'2. AWARDS'!$C$9:$O$35,13,FALSE)&lt;&gt;0),"date missing",IF(N64=0,0,IF(OR(N64=MIN(O64,Q64),AND(N64&lt;O64,N64&lt;Q64,N64&gt;0)),IF(E64='2. AWARDS'!F$7,VLOOKUP(F64,'2. AWARDS'!$C$9:$O$35,9,FALSE),IF(E64='2. AWARDS'!G$7,VLOOKUP(F64,'2. AWARDS'!$C$9:$O$35,10,FALSE),IF(E64='2. AWARDS'!H$7,VLOOKUP(F64,'2. AWARDS'!$C$9:$O$35,11,FALSE),IF(E64='2. AWARDS'!I$7,VLOOKUP(F64,'2. AWARDS'!$C$9:$O$35,12,FALSE),IF(E64='2. AWARDS'!J$7,VLOOKUP(F64,'2. AWARDS'!$C$9:$O$35,13,FALSE)))))),IF(AND(N64&gt;O64,N64&lt;Q64),IF(E64='2. AWARDS'!F$7,(1+P64)*VLOOKUP(F64,'2. AWARDS'!$C$9:$O$35,9,FALSE),IF(E64='2. AWARDS'!G$7,(1+P64)*VLOOKUP(F64,'2. AWARDS'!$C$9:$O$35,10,FALSE),IF(E64='2. AWARDS'!H$7,(1+P64)*VLOOKUP(F64,'2. AWARDS'!$C$9:$O$35,11,FALSE),IF(E64='2. AWARDS'!I$7,(1+P64)*VLOOKUP(F64,'2. AWARDS'!$C$9:$O$35,12,FALSE),IF(E64='2. AWARDS'!J$7,(1+P64)*VLOOKUP(F64,'2. AWARDS'!$C$9:$O$35,13,FALSE)))))),IF(AND(N64&lt;O64,N64&gt;Q64),IF(E64='2. AWARDS'!F$7,(1+(R64/9))*VLOOKUP(F64,'2. AWARDS'!$C$9:$O$35,9,FALSE),IF(E64='2. AWARDS'!G$7,(1+(R64/9))*VLOOKUP(F64,'2. AWARDS'!$C$9:$O$35,10,FALSE),IF(E64='2. AWARDS'!H$7,(1+(R64/9))*VLOOKUP(F64,'2. AWARDS'!$C$9:$O$35,11,FALSE),IF(E64='2. AWARDS'!I$7,(1+(R64/9))*VLOOKUP(F64,'2. AWARDS'!$C$9:$O$35,12,FALSE),IF(E64='2. AWARDS'!J$7,(1+(R64/9))*VLOOKUP(F64,'2. AWARDS'!$C$9:$O$35,13,FALSE)))))),IF(OR(N64=MAX(O64,Q64),AND(N64&gt;O64,N64&gt;Q64)),IF(E64='2. AWARDS'!F$7,((1+(R64/9))*(1+P64))*VLOOKUP(F64,'2. AWARDS'!$C$9:$O$35,9,FALSE),IF(E64='2. AWARDS'!G$7,((1+(R64/9))*(1+P64))*VLOOKUP(F64,'2. AWARDS'!$C$9:$O$35,10,FALSE),IF(E64='2. AWARDS'!H$7,((1+(R64/9))*(1+P64))*VLOOKUP(F64,'2. AWARDS'!$C$9:$O$35,11,FALSE),IF(E64='2. AWARDS'!I$7,((1+(R64/9))*(1+P64))*VLOOKUP(F64,'2. AWARDS'!$C$9:$O$35,12,FALSE),IF(E64='2. AWARDS'!J$7,((1+(R64/9))*(1+P64))*VLOOKUP(F64,'2. AWARDS'!$C$9:$O$35,13,FALSE)))))),"?")))))))))))</f>
        <v>0</v>
      </c>
      <c r="Z64" s="814" t="e">
        <f>IF(AND(E64='2. AWARDS'!F50,O64&gt;N64,O64&gt;Q64,VLOOKUP(F64,'2. AWARDS'!$C$9:$O$35,9,FALSE)&lt;&gt;0),VLOOKUP(F64,'2. AWARDS'!$C$9:$O$35,9,FALSE)*(1+P64)*(1+(R64/9)),IF(AND(E64='2. AWARDS'!F50,O64&gt;N64,O64&gt;Q64,VLOOKUP(F64,'2. AWARDS'!$C$9:$O$35,9,FALSE)=0),X64*(1+P64)*(1+(R64/9)),IF(AND(E64='2. AWARDS'!G50,O64&gt;N64,O64&gt;Q64,VLOOKUP(F64,'2. AWARDS'!$C$9:$O$35,10,FALSE)&lt;&gt;0),VLOOKUP(F64,'2. AWARDS'!$C$9:$O$35,10,FALSE)*(1+P64)*(1+(R64/9)),IF(AND(E64='2. AWARDS'!G50,O64&gt;N64,O64&gt;Q64,VLOOKUP(F64,'2. AWARDS'!$C$9:$O$35,10,FALSE)=0),X64*(1+P64)*(1+(R64/9)),IF(AND(E64='2. AWARDS'!H50,O64&gt;N64,O64&gt;Q64,VLOOKUP(F64,'2. AWARDS'!$C$9:$O$35,11,FALSE)&lt;&gt;0),VLOOKUP(F64,'2. AWARDS'!$C$9:$O$35,11,FALSE)*(1+P64)*(1+(R64/9)),IF(AND(E64='2. AWARDS'!H50,O64&gt;N64,O64&gt;Q64,VLOOKUP(F64,'2. AWARDS'!$C$9:$O$35,11,FALSE)=0),X64*(1+P64)*(1+(R64/9)),IF(AND(E64='2. AWARDS'!I50,O64&gt;N64,O64&gt;Q64,VLOOKUP(F64,'2. AWARDS'!$C$9:$O$35,12,FALSE)&lt;&gt;0),VLOOKUP(F64,'2. AWARDS'!$C$9:$O$35,12,FALSE)*(1+P64)*(1+(R64/9)),IF(AND(E64='2. AWARDS'!I50,O64&gt;N64,O64&gt;Q64,VLOOKUP(F64,'2. AWARDS'!$C$9:$O$35,12,FALSE)=0),X64*(1+P64)*(1+(R64/9)),IF(AND(E64='2. AWARDS'!J50,O64&gt;N64,O64&gt;Q64,VLOOKUP(F64,'2. AWARDS'!$C$9:$O$35,13,FALSE)&lt;&gt;0),VLOOKUP(F64,'2. AWARDS'!$C$9:$O$35,13,FALSE)*(1+P64)*(1+(R64/9)),IF(AND(E64='2. AWARDS'!J50,O64&gt;N64,O64&gt;Q64,VLOOKUP(F64,'2. AWARDS'!$C$9:$O$35,13,FALSE)=0),X64*(1+P64)*(1+(R64/9)),IF(AND(O64&lt;N64,O64&gt;Q64),X64*(1+P64)*(1+(R64/9)),IF(AND(E64='2. AWARDS'!F50,O64=MAX(N64,Q64),VLOOKUP(F64,'2. AWARDS'!$C$9:$O$35,9,FALSE)&lt;&gt;0),VLOOKUP(F64,'2. AWARDS'!$C$9:$O$35,9,FALSE)*(1+P64)*(1+(R64/9)),IF(AND(E64='2. AWARDS'!F50,O64=MAX(N64,Q64),VLOOKUP(F64,'2. AWARDS'!$C$9:$O$35,9,FALSE)=0),X64*(1+P64)*(1+(R64/9)),IF(AND(E64='2. AWARDS'!G50,O64=MAX(N64,Q64),VLOOKUP(F64,'2. AWARDS'!$C$9:$O$35,10,FALSE)&lt;&gt;0),VLOOKUP(F64,'2. AWARDS'!$C$9:$O$35,10,FALSE)*(1+P64)*(1+(R64/9)),IF(AND(E64='2. AWARDS'!G50,O64=MAX(N64,Q64),VLOOKUP(F64,'2. AWARDS'!$C$9:$O$35,10,FALSE)=0),X64*(1+P64)*(1+(R64/9)),IF(AND(E64='2. AWARDS'!H50,O64=MAX(N64,Q64),VLOOKUP(F64,'2. AWARDS'!$C$9:$O$35,11,FALSE)&lt;&gt;0),VLOOKUP(F64,'2. AWARDS'!$C$9:$O$35,11,FALSE)*(1+P64)*(1+(R64/9)),IF(AND(E64='2. AWARDS'!H50,O64=MAX(N64,Q64),VLOOKUP(F64,'2. AWARDS'!$C$9:$O$35,11,FALSE)=0),X64*(1+P64)*(1+(R64/9)),IF(AND(E64='2. AWARDS'!I50,O64=MAX(N64,Q64),VLOOKUP(F64,'2. AWARDS'!$C$9:$O$35,12,FALSE)&lt;&gt;0),VLOOKUP(F64,'2. AWARDS'!$C$9:$O$35,12,FALSE)*(1+P64)*(1+(R64/9)),IF(AND(E64='2. AWARDS'!I50,O64=MAX(N64,Q64),VLOOKUP(F64,'2. AWARDS'!$C$9:$O$35,12,FALSE)=0),X64*(1+P64)*(1+(R64/9)),IF(AND(E64='2. AWARDS'!J50,O64=MAX(N64,Q64),VLOOKUP(F64,'2. AWARDS'!$C$9:$O$35,13,FALSE)&lt;&gt;0),VLOOKUP(F64,'2. AWARDS'!$C$9:$O$35,13,FALSE)*(1+P64)*(1+(R64/9)),IF(AND(E64='2. AWARDS'!J50,O64=MAX(N64,Q64),VLOOKUP(F64,'2. AWARDS'!$C$9:$O$35,13,FALSE)=0),X64*(1+P64)*(1+(R64/9)),IF(AND(O64&lt;N64,O64&lt;Q64),X64*(1+P64),IF(AND(O64=N64,N64&lt;Q64,E64='2. AWARDS'!F50),VLOOKUP(F64,'2. AWARDS'!$C$9:$O$35,9,FALSE)*(1+P64),IF(AND(O64=N64,N64&lt;Q64,E64='2. AWARDS'!G50),VLOOKUP(F64,'2. AWARDS'!$C$9:$O$35,10,FALSE)*(1+P64),IF(AND(O64=N64,N64&lt;Q64,E64='2. AWARDS'!H50),VLOOKUP(F64,'2. AWARDS'!$C$9:$O$35,11,FALSE)*(1+P64),IF(AND(O64=N64,N64&lt;Q64,E64='2. AWARDS'!I50),VLOOKUP(F64,'2. AWARDS'!$C$9:$O$35,12,FALSE)*(1+P64),IF(AND(O64=N64,N64&lt;Q64,E64='2. AWARDS'!J50),VLOOKUP(F64,'2. AWARDS'!$C$9:$O$35,13,FALSE)*(1+P64),IF(AND(O64=Q64,N64&gt;Q64),X64*(1+P64)*(1+(R64/9)),IF(AND(E64='2. AWARDS'!F50,O64&gt;N64,O64&lt;Q64,VLOOKUP(F64,'2. AWARDS'!$C$9:$O$35,9,FALSE)&lt;&gt;0),VLOOKUP(F64,'2. AWARDS'!$C$9:$O$35,9,FALSE)*(1+P64),IF(AND(E64='2. AWARDS'!G50,O64&gt;N64,O64&lt;Q64,VLOOKUP(F64,'2. AWARDS'!$C$9:$O$35,10,FALSE)&lt;&gt;0),VLOOKUP(F64,'2. AWARDS'!$C$9:$O$35,10,FALSE)*(1+P64),IF(AND(E64='2. AWARDS'!H50,O64&gt;N64,O64&lt;Q64,VLOOKUP(F64,'2. AWARDS'!$C$9:$O$35,11,FALSE)&lt;&gt;0),VLOOKUP(F64,'2. AWARDS'!$C$9:$O$35,11,FALSE)*(1+P64),IF(AND(E64='2. AWARDS'!I50,O64&gt;N64,O64&lt;Q64,VLOOKUP(F64,'2. AWARDS'!$C$9:$O$35,12,FALSE)&lt;&gt;0),VLOOKUP(F64,'2. AWARDS'!$C$9:$O$35,12,FALSE)*(1+P64),IF(AND(E64='2. AWARDS'!J50,O64&gt;N64,O64&lt;Q64,VLOOKUP(F64,'2. AWARDS'!$C$9:$O$35,13,FALSE)&lt;&gt;0),VLOOKUP(F64,'2. AWARDS'!$C$9:$O$35,13,FALSE)*(1+P64),X64*(1+P64))))))))))))))))))))))))))))))))))</f>
        <v>#N/A</v>
      </c>
      <c r="AA64" s="816" t="e">
        <f t="shared" si="64"/>
        <v>#VALUE!</v>
      </c>
      <c r="AB64" s="684"/>
      <c r="AC64" s="776"/>
      <c r="AD64" s="776"/>
      <c r="AE64" s="779"/>
      <c r="AF64" s="1127">
        <f t="shared" si="59"/>
        <v>0</v>
      </c>
      <c r="AG64" s="781" t="e">
        <f>HLOOKUP(E64,'2. AWARDS'!$F$7:$J$40,32,FALSE)/5*HLOOKUP(E64,'2. AWARDS'!$F$7:$J$40,31,FALSE)*MAX(W64:AA64)*M64*HLOOKUP(E64,'2. AWARDS'!$F$7:$J$40,34,FALSE)*(L64/(38*2))</f>
        <v>#N/A</v>
      </c>
      <c r="AH64" s="786" t="e">
        <f>((HLOOKUP(E64,'2. AWARDS'!$F$7:$J$42,36,FALSE)/HLOOKUP(E64,'2. AWARDS'!$F$7:$J$42,35,FALSE)*HLOOKUP(E64,'2. AWARDS'!$F$7:$J$45,39,FALSE))/(HLOOKUP(E64,'2. AWARDS'!$F$7:$J$45,31,FALSE)*2)*L64*M64*HLOOKUP(E64,'2. AWARDS'!$F$7:$J$45,31,FALSE)*MAX(W64:AA64))</f>
        <v>#N/A</v>
      </c>
      <c r="AI64" s="682"/>
      <c r="AJ64" s="804"/>
      <c r="AK64" s="821"/>
      <c r="AL64" s="821"/>
      <c r="AM64" s="823"/>
      <c r="AN64" s="1012"/>
      <c r="AO64" s="843">
        <f>IF(AJ64="YES",HLOOKUP(E64,'2. AWARDS'!$F$7:$J$38,32,FALSE)/5*HLOOKUP(E64,'2. AWARDS'!$F$7:$J$37,31,FALSE)*L64/(HLOOKUP(E64,'2. AWARDS'!$F$7:$J$37,31,FALSE)*2)*M64*MAX(W64:AA64)*(1+HLOOKUP(E64,'2. AWARDS'!$F$7:$J$43,37,FALSE))*(1-AM64),0)</f>
        <v>0</v>
      </c>
      <c r="AP64" s="843">
        <f>IF(AK64="YES",HLOOKUP(E64,'2. AWARDS'!$F$7:$J$39,33,FALSE)/5*HLOOKUP(E64,'2. AWARDS'!$F$7:$J$37,31,FALSE)*L64/(HLOOKUP(E64,'2. AWARDS'!$F$7:$J$37,31,FALSE)*2)*M64*MAX(W64:AA64)*(1+HLOOKUP(E64,'2. AWARDS'!$F$7:$J$43,37,FALSE))*(1-AM64),0)</f>
        <v>0</v>
      </c>
      <c r="AQ64" s="843">
        <f>IF(AL64="YES",HLOOKUP(E64,'2. AWARDS'!$F$7:$J$47,40,FALSE)/5*HLOOKUP(E64,'2. AWARDS'!$F$7:$J$37,31,FALSE)*L64/(HLOOKUP(E64,'2. AWARDS'!$F$7:$J$37,31,FALSE)*2)*M64*MAX(W64:AA64)*(1+HLOOKUP(E64,'2. AWARDS'!$F$7:$J$43,37,FALSE))*(1-AM64),0)</f>
        <v>0</v>
      </c>
      <c r="AR64" s="844" t="e">
        <f>(IF(AJ64="YES",HLOOKUP(E64,'2. AWARDS'!$F$7:$J$39,32,FALSE),0)+IF(AK64="YES",HLOOKUP(E64,'2. AWARDS'!$F$7:$J$39,33,FALSE),0)+IF(AL64="YES",HLOOKUP(E64,'2. AWARDS'!$F$7:$J$47,40,FALSE),0))/5*(HLOOKUP(E64,'2. AWARDS'!$F$7:$J$39,31,FALSE)*2)*AM64*AN64</f>
        <v>#N/A</v>
      </c>
      <c r="AS64" s="684"/>
      <c r="AT64" s="802">
        <v>0.04</v>
      </c>
      <c r="AU64" s="822">
        <f>'1. KEY DATA'!J$30</f>
        <v>0.09</v>
      </c>
      <c r="AV64" s="502"/>
      <c r="AW64" s="478">
        <f t="shared" si="60"/>
        <v>0</v>
      </c>
      <c r="AX64" s="502"/>
      <c r="AY64" s="998"/>
      <c r="AZ64" s="999"/>
      <c r="BA64" s="999"/>
      <c r="BB64" s="999"/>
      <c r="BC64" s="999"/>
      <c r="BD64" s="999"/>
      <c r="BE64" s="999"/>
      <c r="BF64" s="999"/>
      <c r="BG64" s="999"/>
      <c r="BH64" s="999"/>
      <c r="BI64" s="1020"/>
      <c r="BJ64" s="1020"/>
      <c r="BK64" s="1020"/>
      <c r="BL64" s="1021"/>
      <c r="BM64" s="301">
        <f t="shared" si="61"/>
        <v>1</v>
      </c>
      <c r="BO64" s="389" t="str">
        <f t="shared" si="65"/>
        <v>-</v>
      </c>
      <c r="BP64" s="384" t="str">
        <f t="shared" si="66"/>
        <v>-</v>
      </c>
      <c r="BQ64" s="384" t="str">
        <f t="shared" si="67"/>
        <v>-</v>
      </c>
      <c r="BR64" s="384" t="str">
        <f t="shared" si="68"/>
        <v>-</v>
      </c>
      <c r="BS64" s="384" t="str">
        <f t="shared" si="69"/>
        <v>-</v>
      </c>
      <c r="BT64" s="384" t="str">
        <f t="shared" si="70"/>
        <v>-</v>
      </c>
      <c r="BU64" s="384" t="str">
        <f t="shared" si="71"/>
        <v>-</v>
      </c>
      <c r="BV64" s="384" t="str">
        <f t="shared" si="72"/>
        <v>-</v>
      </c>
      <c r="BW64" s="384" t="str">
        <f t="shared" si="73"/>
        <v>-</v>
      </c>
      <c r="BX64" s="384" t="str">
        <f t="shared" si="74"/>
        <v>-</v>
      </c>
      <c r="BY64" s="385" t="str">
        <f t="shared" si="75"/>
        <v>-</v>
      </c>
      <c r="BZ64" s="385" t="str">
        <f t="shared" si="76"/>
        <v>-</v>
      </c>
      <c r="CA64" s="385" t="str">
        <f t="shared" si="77"/>
        <v>-</v>
      </c>
      <c r="CB64" s="390" t="str">
        <f t="shared" si="78"/>
        <v>-</v>
      </c>
    </row>
    <row r="65" spans="2:80">
      <c r="B65" s="231"/>
      <c r="C65" s="214"/>
      <c r="D65" s="699">
        <f t="shared" si="63"/>
        <v>0</v>
      </c>
      <c r="E65" s="626"/>
      <c r="F65" s="903"/>
      <c r="G65" s="625"/>
      <c r="H65" s="765"/>
      <c r="I65" s="1118"/>
      <c r="J65" s="1123"/>
      <c r="K65" s="1124"/>
      <c r="L65" s="1109"/>
      <c r="M65" s="689"/>
      <c r="N65" s="634"/>
      <c r="O65" s="634"/>
      <c r="P65" s="638">
        <f t="shared" si="79"/>
        <v>0.03</v>
      </c>
      <c r="Q65" s="634"/>
      <c r="R65" s="812" t="str">
        <f t="shared" si="57"/>
        <v>-</v>
      </c>
      <c r="S65" s="649"/>
      <c r="T65" s="768"/>
      <c r="U65" s="834"/>
      <c r="V65" s="772"/>
      <c r="W65" s="817">
        <f t="shared" si="58"/>
        <v>0</v>
      </c>
      <c r="X65" s="817">
        <f>IF(OR(E65=0,F65=0),0,IF(E65='2. AWARDS'!F$7,VLOOKUP(F65,'2. AWARDS'!$C$9:$F$35,4,FALSE),IF(E65='2. AWARDS'!G$7,VLOOKUP(F65,'2. AWARDS'!$C$9:$G$35,5,FALSE),IF(E65='2. AWARDS'!H$7,VLOOKUP(F65,'2. AWARDS'!$C$9:$H$35,6,FALSE),IF(E65='2. AWARDS'!I$7,VLOOKUP(F65,'2. AWARDS'!$C$9:$I$35,7,FALSE),VLOOKUP(F65,'2. AWARDS'!$C$9:$J$35,8,FALSE))))))</f>
        <v>0</v>
      </c>
      <c r="Y65" s="815">
        <f>IF(OR(E65=0,F65=0),0,IF(AND(N65=0,E65='2. AWARDS'!F$7,VLOOKUP(F65,'2. AWARDS'!$C$9:$O$35,9,FALSE)&lt;&gt;0),"date missing",IF(AND(N65=0,E65='2. AWARDS'!G$7,VLOOKUP(F65,'2. AWARDS'!$C$9:$O$35,10,FALSE)&lt;&gt;0),"date missing",IF(AND(N65=0,E65='2. AWARDS'!H$7,VLOOKUP(F65,'2. AWARDS'!$C$9:$O$35,11,FALSE)&lt;&gt;0),"date missing",IF(AND(N65=0,E65='2. AWARDS'!I$7,VLOOKUP(F65,'2. AWARDS'!$C$9:$O$35,12,FALSE)&lt;&gt;0),"date missing",IF(AND(N65=0,E65='2. AWARDS'!J$7,VLOOKUP(F65,'2. AWARDS'!$C$9:$O$35,13,FALSE)&lt;&gt;0),"date missing",IF(N65=0,0,IF(OR(N65=MIN(O65,Q65),AND(N65&lt;O65,N65&lt;Q65,N65&gt;0)),IF(E65='2. AWARDS'!F$7,VLOOKUP(F65,'2. AWARDS'!$C$9:$O$35,9,FALSE),IF(E65='2. AWARDS'!G$7,VLOOKUP(F65,'2. AWARDS'!$C$9:$O$35,10,FALSE),IF(E65='2. AWARDS'!H$7,VLOOKUP(F65,'2. AWARDS'!$C$9:$O$35,11,FALSE),IF(E65='2. AWARDS'!I$7,VLOOKUP(F65,'2. AWARDS'!$C$9:$O$35,12,FALSE),IF(E65='2. AWARDS'!J$7,VLOOKUP(F65,'2. AWARDS'!$C$9:$O$35,13,FALSE)))))),IF(AND(N65&gt;O65,N65&lt;Q65),IF(E65='2. AWARDS'!F$7,(1+P65)*VLOOKUP(F65,'2. AWARDS'!$C$9:$O$35,9,FALSE),IF(E65='2. AWARDS'!G$7,(1+P65)*VLOOKUP(F65,'2. AWARDS'!$C$9:$O$35,10,FALSE),IF(E65='2. AWARDS'!H$7,(1+P65)*VLOOKUP(F65,'2. AWARDS'!$C$9:$O$35,11,FALSE),IF(E65='2. AWARDS'!I$7,(1+P65)*VLOOKUP(F65,'2. AWARDS'!$C$9:$O$35,12,FALSE),IF(E65='2. AWARDS'!J$7,(1+P65)*VLOOKUP(F65,'2. AWARDS'!$C$9:$O$35,13,FALSE)))))),IF(AND(N65&lt;O65,N65&gt;Q65),IF(E65='2. AWARDS'!F$7,(1+(R65/9))*VLOOKUP(F65,'2. AWARDS'!$C$9:$O$35,9,FALSE),IF(E65='2. AWARDS'!G$7,(1+(R65/9))*VLOOKUP(F65,'2. AWARDS'!$C$9:$O$35,10,FALSE),IF(E65='2. AWARDS'!H$7,(1+(R65/9))*VLOOKUP(F65,'2. AWARDS'!$C$9:$O$35,11,FALSE),IF(E65='2. AWARDS'!I$7,(1+(R65/9))*VLOOKUP(F65,'2. AWARDS'!$C$9:$O$35,12,FALSE),IF(E65='2. AWARDS'!J$7,(1+(R65/9))*VLOOKUP(F65,'2. AWARDS'!$C$9:$O$35,13,FALSE)))))),IF(OR(N65=MAX(O65,Q65),AND(N65&gt;O65,N65&gt;Q65)),IF(E65='2. AWARDS'!F$7,((1+(R65/9))*(1+P65))*VLOOKUP(F65,'2. AWARDS'!$C$9:$O$35,9,FALSE),IF(E65='2. AWARDS'!G$7,((1+(R65/9))*(1+P65))*VLOOKUP(F65,'2. AWARDS'!$C$9:$O$35,10,FALSE),IF(E65='2. AWARDS'!H$7,((1+(R65/9))*(1+P65))*VLOOKUP(F65,'2. AWARDS'!$C$9:$O$35,11,FALSE),IF(E65='2. AWARDS'!I$7,((1+(R65/9))*(1+P65))*VLOOKUP(F65,'2. AWARDS'!$C$9:$O$35,12,FALSE),IF(E65='2. AWARDS'!J$7,((1+(R65/9))*(1+P65))*VLOOKUP(F65,'2. AWARDS'!$C$9:$O$35,13,FALSE)))))),"?")))))))))))</f>
        <v>0</v>
      </c>
      <c r="Z65" s="814" t="e">
        <f>IF(AND(E65='2. AWARDS'!F51,O65&gt;N65,O65&gt;Q65,VLOOKUP(F65,'2. AWARDS'!$C$9:$O$35,9,FALSE)&lt;&gt;0),VLOOKUP(F65,'2. AWARDS'!$C$9:$O$35,9,FALSE)*(1+P65)*(1+(R65/9)),IF(AND(E65='2. AWARDS'!F51,O65&gt;N65,O65&gt;Q65,VLOOKUP(F65,'2. AWARDS'!$C$9:$O$35,9,FALSE)=0),X65*(1+P65)*(1+(R65/9)),IF(AND(E65='2. AWARDS'!G51,O65&gt;N65,O65&gt;Q65,VLOOKUP(F65,'2. AWARDS'!$C$9:$O$35,10,FALSE)&lt;&gt;0),VLOOKUP(F65,'2. AWARDS'!$C$9:$O$35,10,FALSE)*(1+P65)*(1+(R65/9)),IF(AND(E65='2. AWARDS'!G51,O65&gt;N65,O65&gt;Q65,VLOOKUP(F65,'2. AWARDS'!$C$9:$O$35,10,FALSE)=0),X65*(1+P65)*(1+(R65/9)),IF(AND(E65='2. AWARDS'!H51,O65&gt;N65,O65&gt;Q65,VLOOKUP(F65,'2. AWARDS'!$C$9:$O$35,11,FALSE)&lt;&gt;0),VLOOKUP(F65,'2. AWARDS'!$C$9:$O$35,11,FALSE)*(1+P65)*(1+(R65/9)),IF(AND(E65='2. AWARDS'!H51,O65&gt;N65,O65&gt;Q65,VLOOKUP(F65,'2. AWARDS'!$C$9:$O$35,11,FALSE)=0),X65*(1+P65)*(1+(R65/9)),IF(AND(E65='2. AWARDS'!I51,O65&gt;N65,O65&gt;Q65,VLOOKUP(F65,'2. AWARDS'!$C$9:$O$35,12,FALSE)&lt;&gt;0),VLOOKUP(F65,'2. AWARDS'!$C$9:$O$35,12,FALSE)*(1+P65)*(1+(R65/9)),IF(AND(E65='2. AWARDS'!I51,O65&gt;N65,O65&gt;Q65,VLOOKUP(F65,'2. AWARDS'!$C$9:$O$35,12,FALSE)=0),X65*(1+P65)*(1+(R65/9)),IF(AND(E65='2. AWARDS'!J51,O65&gt;N65,O65&gt;Q65,VLOOKUP(F65,'2. AWARDS'!$C$9:$O$35,13,FALSE)&lt;&gt;0),VLOOKUP(F65,'2. AWARDS'!$C$9:$O$35,13,FALSE)*(1+P65)*(1+(R65/9)),IF(AND(E65='2. AWARDS'!J51,O65&gt;N65,O65&gt;Q65,VLOOKUP(F65,'2. AWARDS'!$C$9:$O$35,13,FALSE)=0),X65*(1+P65)*(1+(R65/9)),IF(AND(O65&lt;N65,O65&gt;Q65),X65*(1+P65)*(1+(R65/9)),IF(AND(E65='2. AWARDS'!F51,O65=MAX(N65,Q65),VLOOKUP(F65,'2. AWARDS'!$C$9:$O$35,9,FALSE)&lt;&gt;0),VLOOKUP(F65,'2. AWARDS'!$C$9:$O$35,9,FALSE)*(1+P65)*(1+(R65/9)),IF(AND(E65='2. AWARDS'!F51,O65=MAX(N65,Q65),VLOOKUP(F65,'2. AWARDS'!$C$9:$O$35,9,FALSE)=0),X65*(1+P65)*(1+(R65/9)),IF(AND(E65='2. AWARDS'!G51,O65=MAX(N65,Q65),VLOOKUP(F65,'2. AWARDS'!$C$9:$O$35,10,FALSE)&lt;&gt;0),VLOOKUP(F65,'2. AWARDS'!$C$9:$O$35,10,FALSE)*(1+P65)*(1+(R65/9)),IF(AND(E65='2. AWARDS'!G51,O65=MAX(N65,Q65),VLOOKUP(F65,'2. AWARDS'!$C$9:$O$35,10,FALSE)=0),X65*(1+P65)*(1+(R65/9)),IF(AND(E65='2. AWARDS'!H51,O65=MAX(N65,Q65),VLOOKUP(F65,'2. AWARDS'!$C$9:$O$35,11,FALSE)&lt;&gt;0),VLOOKUP(F65,'2. AWARDS'!$C$9:$O$35,11,FALSE)*(1+P65)*(1+(R65/9)),IF(AND(E65='2. AWARDS'!H51,O65=MAX(N65,Q65),VLOOKUP(F65,'2. AWARDS'!$C$9:$O$35,11,FALSE)=0),X65*(1+P65)*(1+(R65/9)),IF(AND(E65='2. AWARDS'!I51,O65=MAX(N65,Q65),VLOOKUP(F65,'2. AWARDS'!$C$9:$O$35,12,FALSE)&lt;&gt;0),VLOOKUP(F65,'2. AWARDS'!$C$9:$O$35,12,FALSE)*(1+P65)*(1+(R65/9)),IF(AND(E65='2. AWARDS'!I51,O65=MAX(N65,Q65),VLOOKUP(F65,'2. AWARDS'!$C$9:$O$35,12,FALSE)=0),X65*(1+P65)*(1+(R65/9)),IF(AND(E65='2. AWARDS'!J51,O65=MAX(N65,Q65),VLOOKUP(F65,'2. AWARDS'!$C$9:$O$35,13,FALSE)&lt;&gt;0),VLOOKUP(F65,'2. AWARDS'!$C$9:$O$35,13,FALSE)*(1+P65)*(1+(R65/9)),IF(AND(E65='2. AWARDS'!J51,O65=MAX(N65,Q65),VLOOKUP(F65,'2. AWARDS'!$C$9:$O$35,13,FALSE)=0),X65*(1+P65)*(1+(R65/9)),IF(AND(O65&lt;N65,O65&lt;Q65),X65*(1+P65),IF(AND(O65=N65,N65&lt;Q65,E65='2. AWARDS'!F51),VLOOKUP(F65,'2. AWARDS'!$C$9:$O$35,9,FALSE)*(1+P65),IF(AND(O65=N65,N65&lt;Q65,E65='2. AWARDS'!G51),VLOOKUP(F65,'2. AWARDS'!$C$9:$O$35,10,FALSE)*(1+P65),IF(AND(O65=N65,N65&lt;Q65,E65='2. AWARDS'!H51),VLOOKUP(F65,'2. AWARDS'!$C$9:$O$35,11,FALSE)*(1+P65),IF(AND(O65=N65,N65&lt;Q65,E65='2. AWARDS'!I51),VLOOKUP(F65,'2. AWARDS'!$C$9:$O$35,12,FALSE)*(1+P65),IF(AND(O65=N65,N65&lt;Q65,E65='2. AWARDS'!J51),VLOOKUP(F65,'2. AWARDS'!$C$9:$O$35,13,FALSE)*(1+P65),IF(AND(O65=Q65,N65&gt;Q65),X65*(1+P65)*(1+(R65/9)),IF(AND(E65='2. AWARDS'!F51,O65&gt;N65,O65&lt;Q65,VLOOKUP(F65,'2. AWARDS'!$C$9:$O$35,9,FALSE)&lt;&gt;0),VLOOKUP(F65,'2. AWARDS'!$C$9:$O$35,9,FALSE)*(1+P65),IF(AND(E65='2. AWARDS'!G51,O65&gt;N65,O65&lt;Q65,VLOOKUP(F65,'2. AWARDS'!$C$9:$O$35,10,FALSE)&lt;&gt;0),VLOOKUP(F65,'2. AWARDS'!$C$9:$O$35,10,FALSE)*(1+P65),IF(AND(E65='2. AWARDS'!H51,O65&gt;N65,O65&lt;Q65,VLOOKUP(F65,'2. AWARDS'!$C$9:$O$35,11,FALSE)&lt;&gt;0),VLOOKUP(F65,'2. AWARDS'!$C$9:$O$35,11,FALSE)*(1+P65),IF(AND(E65='2. AWARDS'!I51,O65&gt;N65,O65&lt;Q65,VLOOKUP(F65,'2. AWARDS'!$C$9:$O$35,12,FALSE)&lt;&gt;0),VLOOKUP(F65,'2. AWARDS'!$C$9:$O$35,12,FALSE)*(1+P65),IF(AND(E65='2. AWARDS'!J51,O65&gt;N65,O65&lt;Q65,VLOOKUP(F65,'2. AWARDS'!$C$9:$O$35,13,FALSE)&lt;&gt;0),VLOOKUP(F65,'2. AWARDS'!$C$9:$O$35,13,FALSE)*(1+P65),X65*(1+P65))))))))))))))))))))))))))))))))))</f>
        <v>#N/A</v>
      </c>
      <c r="AA65" s="816" t="e">
        <f t="shared" si="64"/>
        <v>#VALUE!</v>
      </c>
      <c r="AB65" s="684"/>
      <c r="AC65" s="776"/>
      <c r="AD65" s="776"/>
      <c r="AE65" s="779"/>
      <c r="AF65" s="1127">
        <f t="shared" si="59"/>
        <v>0</v>
      </c>
      <c r="AG65" s="781" t="e">
        <f>HLOOKUP(E65,'2. AWARDS'!$F$7:$J$40,32,FALSE)/5*HLOOKUP(E65,'2. AWARDS'!$F$7:$J$40,31,FALSE)*MAX(W65:AA65)*M65*HLOOKUP(E65,'2. AWARDS'!$F$7:$J$40,34,FALSE)*(L65/(38*2))</f>
        <v>#N/A</v>
      </c>
      <c r="AH65" s="786" t="e">
        <f>((HLOOKUP(E65,'2. AWARDS'!$F$7:$J$42,36,FALSE)/HLOOKUP(E65,'2. AWARDS'!$F$7:$J$42,35,FALSE)*HLOOKUP(E65,'2. AWARDS'!$F$7:$J$45,39,FALSE))/(HLOOKUP(E65,'2. AWARDS'!$F$7:$J$45,31,FALSE)*2)*L65*M65*HLOOKUP(E65,'2. AWARDS'!$F$7:$J$45,31,FALSE)*MAX(W65:AA65))</f>
        <v>#N/A</v>
      </c>
      <c r="AI65" s="682"/>
      <c r="AJ65" s="804"/>
      <c r="AK65" s="821"/>
      <c r="AL65" s="821"/>
      <c r="AM65" s="823"/>
      <c r="AN65" s="1012"/>
      <c r="AO65" s="843">
        <f>IF(AJ65="YES",HLOOKUP(E65,'2. AWARDS'!$F$7:$J$38,32,FALSE)/5*HLOOKUP(E65,'2. AWARDS'!$F$7:$J$37,31,FALSE)*L65/(HLOOKUP(E65,'2. AWARDS'!$F$7:$J$37,31,FALSE)*2)*M65*MAX(W65:AA65)*(1+HLOOKUP(E65,'2. AWARDS'!$F$7:$J$43,37,FALSE))*(1-AM65),0)</f>
        <v>0</v>
      </c>
      <c r="AP65" s="843">
        <f>IF(AK65="YES",HLOOKUP(E65,'2. AWARDS'!$F$7:$J$39,33,FALSE)/5*HLOOKUP(E65,'2. AWARDS'!$F$7:$J$37,31,FALSE)*L65/(HLOOKUP(E65,'2. AWARDS'!$F$7:$J$37,31,FALSE)*2)*M65*MAX(W65:AA65)*(1+HLOOKUP(E65,'2. AWARDS'!$F$7:$J$43,37,FALSE))*(1-AM65),0)</f>
        <v>0</v>
      </c>
      <c r="AQ65" s="843">
        <f>IF(AL65="YES",HLOOKUP(E65,'2. AWARDS'!$F$7:$J$47,40,FALSE)/5*HLOOKUP(E65,'2. AWARDS'!$F$7:$J$37,31,FALSE)*L65/(HLOOKUP(E65,'2. AWARDS'!$F$7:$J$37,31,FALSE)*2)*M65*MAX(W65:AA65)*(1+HLOOKUP(E65,'2. AWARDS'!$F$7:$J$43,37,FALSE))*(1-AM65),0)</f>
        <v>0</v>
      </c>
      <c r="AR65" s="844" t="e">
        <f>(IF(AJ65="YES",HLOOKUP(E65,'2. AWARDS'!$F$7:$J$39,32,FALSE),0)+IF(AK65="YES",HLOOKUP(E65,'2. AWARDS'!$F$7:$J$39,33,FALSE),0)+IF(AL65="YES",HLOOKUP(E65,'2. AWARDS'!$F$7:$J$47,40,FALSE),0))/5*(HLOOKUP(E65,'2. AWARDS'!$F$7:$J$39,31,FALSE)*2)*AM65*AN65</f>
        <v>#N/A</v>
      </c>
      <c r="AS65" s="684"/>
      <c r="AT65" s="802">
        <v>0.04</v>
      </c>
      <c r="AU65" s="822">
        <f>'1. KEY DATA'!J$30</f>
        <v>0.09</v>
      </c>
      <c r="AV65" s="502"/>
      <c r="AW65" s="478">
        <f t="shared" si="60"/>
        <v>0</v>
      </c>
      <c r="AX65" s="502"/>
      <c r="AY65" s="998"/>
      <c r="AZ65" s="999"/>
      <c r="BA65" s="999"/>
      <c r="BB65" s="999"/>
      <c r="BC65" s="999"/>
      <c r="BD65" s="999"/>
      <c r="BE65" s="999"/>
      <c r="BF65" s="999"/>
      <c r="BG65" s="999"/>
      <c r="BH65" s="999"/>
      <c r="BI65" s="1020"/>
      <c r="BJ65" s="1020"/>
      <c r="BK65" s="1020"/>
      <c r="BL65" s="1021"/>
      <c r="BM65" s="301">
        <f t="shared" si="61"/>
        <v>1</v>
      </c>
      <c r="BO65" s="389" t="str">
        <f t="shared" si="65"/>
        <v>-</v>
      </c>
      <c r="BP65" s="384" t="str">
        <f t="shared" si="66"/>
        <v>-</v>
      </c>
      <c r="BQ65" s="384" t="str">
        <f t="shared" si="67"/>
        <v>-</v>
      </c>
      <c r="BR65" s="384" t="str">
        <f t="shared" si="68"/>
        <v>-</v>
      </c>
      <c r="BS65" s="384" t="str">
        <f t="shared" si="69"/>
        <v>-</v>
      </c>
      <c r="BT65" s="384" t="str">
        <f t="shared" si="70"/>
        <v>-</v>
      </c>
      <c r="BU65" s="384" t="str">
        <f t="shared" si="71"/>
        <v>-</v>
      </c>
      <c r="BV65" s="384" t="str">
        <f t="shared" si="72"/>
        <v>-</v>
      </c>
      <c r="BW65" s="384" t="str">
        <f t="shared" si="73"/>
        <v>-</v>
      </c>
      <c r="BX65" s="384" t="str">
        <f t="shared" si="74"/>
        <v>-</v>
      </c>
      <c r="BY65" s="385" t="str">
        <f t="shared" si="75"/>
        <v>-</v>
      </c>
      <c r="BZ65" s="385" t="str">
        <f t="shared" si="76"/>
        <v>-</v>
      </c>
      <c r="CA65" s="385" t="str">
        <f t="shared" si="77"/>
        <v>-</v>
      </c>
      <c r="CB65" s="390" t="str">
        <f t="shared" si="78"/>
        <v>-</v>
      </c>
    </row>
    <row r="66" spans="2:80" ht="15.75" thickBot="1">
      <c r="B66" s="234"/>
      <c r="C66" s="214"/>
      <c r="D66" s="700">
        <f t="shared" si="63"/>
        <v>0</v>
      </c>
      <c r="E66" s="627"/>
      <c r="F66" s="904"/>
      <c r="G66" s="627"/>
      <c r="H66" s="766"/>
      <c r="I66" s="1119"/>
      <c r="J66" s="1125"/>
      <c r="K66" s="1126"/>
      <c r="L66" s="1110"/>
      <c r="M66" s="761"/>
      <c r="N66" s="635"/>
      <c r="O66" s="635"/>
      <c r="P66" s="639">
        <f t="shared" si="79"/>
        <v>0.03</v>
      </c>
      <c r="Q66" s="635"/>
      <c r="R66" s="813" t="str">
        <f t="shared" si="57"/>
        <v>-</v>
      </c>
      <c r="S66" s="649"/>
      <c r="T66" s="769"/>
      <c r="U66" s="835"/>
      <c r="V66" s="773"/>
      <c r="W66" s="818">
        <f t="shared" si="58"/>
        <v>0</v>
      </c>
      <c r="X66" s="818">
        <f>IF(OR(E66=0,F66=0),0,IF(E66='2. AWARDS'!F$7,VLOOKUP(F66,'2. AWARDS'!$C$9:$F$35,4,FALSE),IF(E66='2. AWARDS'!G$7,VLOOKUP(F66,'2. AWARDS'!$C$9:$G$35,5,FALSE),IF(E66='2. AWARDS'!H$7,VLOOKUP(F66,'2. AWARDS'!$C$9:$H$35,6,FALSE),IF(E66='2. AWARDS'!I$7,VLOOKUP(F66,'2. AWARDS'!$C$9:$I$35,7,FALSE),VLOOKUP(F66,'2. AWARDS'!$C$9:$J$35,8,FALSE))))))</f>
        <v>0</v>
      </c>
      <c r="Y66" s="819">
        <f>IF(OR(E66=0,F66=0),0,IF(AND(N66=0,E66='2. AWARDS'!F$7,VLOOKUP(F66,'2. AWARDS'!$C$9:$O$35,9,FALSE)&lt;&gt;0),"date missing",IF(AND(N66=0,E66='2. AWARDS'!G$7,VLOOKUP(F66,'2. AWARDS'!$C$9:$O$35,10,FALSE)&lt;&gt;0),"date missing",IF(AND(N66=0,E66='2. AWARDS'!H$7,VLOOKUP(F66,'2. AWARDS'!$C$9:$O$35,11,FALSE)&lt;&gt;0),"date missing",IF(AND(N66=0,E66='2. AWARDS'!I$7,VLOOKUP(F66,'2. AWARDS'!$C$9:$O$35,12,FALSE)&lt;&gt;0),"date missing",IF(AND(N66=0,E66='2. AWARDS'!J$7,VLOOKUP(F66,'2. AWARDS'!$C$9:$O$35,13,FALSE)&lt;&gt;0),"date missing",IF(N66=0,0,IF(OR(N66=MIN(O66,Q66),AND(N66&lt;O66,N66&lt;Q66,N66&gt;0)),IF(E66='2. AWARDS'!F$7,VLOOKUP(F66,'2. AWARDS'!$C$9:$O$35,9,FALSE),IF(E66='2. AWARDS'!G$7,VLOOKUP(F66,'2. AWARDS'!$C$9:$O$35,10,FALSE),IF(E66='2. AWARDS'!H$7,VLOOKUP(F66,'2. AWARDS'!$C$9:$O$35,11,FALSE),IF(E66='2. AWARDS'!I$7,VLOOKUP(F66,'2. AWARDS'!$C$9:$O$35,12,FALSE),IF(E66='2. AWARDS'!J$7,VLOOKUP(F66,'2. AWARDS'!$C$9:$O$35,13,FALSE)))))),IF(AND(N66&gt;O66,N66&lt;Q66),IF(E66='2. AWARDS'!F$7,(1+P66)*VLOOKUP(F66,'2. AWARDS'!$C$9:$O$35,9,FALSE),IF(E66='2. AWARDS'!G$7,(1+P66)*VLOOKUP(F66,'2. AWARDS'!$C$9:$O$35,10,FALSE),IF(E66='2. AWARDS'!H$7,(1+P66)*VLOOKUP(F66,'2. AWARDS'!$C$9:$O$35,11,FALSE),IF(E66='2. AWARDS'!I$7,(1+P66)*VLOOKUP(F66,'2. AWARDS'!$C$9:$O$35,12,FALSE),IF(E66='2. AWARDS'!J$7,(1+P66)*VLOOKUP(F66,'2. AWARDS'!$C$9:$O$35,13,FALSE)))))),IF(AND(N66&lt;O66,N66&gt;Q66),IF(E66='2. AWARDS'!F$7,(1+(R66/9))*VLOOKUP(F66,'2. AWARDS'!$C$9:$O$35,9,FALSE),IF(E66='2. AWARDS'!G$7,(1+(R66/9))*VLOOKUP(F66,'2. AWARDS'!$C$9:$O$35,10,FALSE),IF(E66='2. AWARDS'!H$7,(1+(R66/9))*VLOOKUP(F66,'2. AWARDS'!$C$9:$O$35,11,FALSE),IF(E66='2. AWARDS'!I$7,(1+(R66/9))*VLOOKUP(F66,'2. AWARDS'!$C$9:$O$35,12,FALSE),IF(E66='2. AWARDS'!J$7,(1+(R66/9))*VLOOKUP(F66,'2. AWARDS'!$C$9:$O$35,13,FALSE)))))),IF(OR(N66=MAX(O66,Q66),AND(N66&gt;O66,N66&gt;Q66)),IF(E66='2. AWARDS'!F$7,((1+(R66/9))*(1+P66))*VLOOKUP(F66,'2. AWARDS'!$C$9:$O$35,9,FALSE),IF(E66='2. AWARDS'!G$7,((1+(R66/9))*(1+P66))*VLOOKUP(F66,'2. AWARDS'!$C$9:$O$35,10,FALSE),IF(E66='2. AWARDS'!H$7,((1+(R66/9))*(1+P66))*VLOOKUP(F66,'2. AWARDS'!$C$9:$O$35,11,FALSE),IF(E66='2. AWARDS'!I$7,((1+(R66/9))*(1+P66))*VLOOKUP(F66,'2. AWARDS'!$C$9:$O$35,12,FALSE),IF(E66='2. AWARDS'!J$7,((1+(R66/9))*(1+P66))*VLOOKUP(F66,'2. AWARDS'!$C$9:$O$35,13,FALSE)))))),"?")))))))))))</f>
        <v>0</v>
      </c>
      <c r="Z66" s="818" t="e">
        <f>IF(AND(E66='2. AWARDS'!F52,O66&gt;N66,O66&gt;Q66,VLOOKUP(F66,'2. AWARDS'!$C$9:$O$35,9,FALSE)&lt;&gt;0),VLOOKUP(F66,'2. AWARDS'!$C$9:$O$35,9,FALSE)*(1+P66)*(1+(R66/9)),IF(AND(E66='2. AWARDS'!F52,O66&gt;N66,O66&gt;Q66,VLOOKUP(F66,'2. AWARDS'!$C$9:$O$35,9,FALSE)=0),X66*(1+P66)*(1+(R66/9)),IF(AND(E66='2. AWARDS'!G52,O66&gt;N66,O66&gt;Q66,VLOOKUP(F66,'2. AWARDS'!$C$9:$O$35,10,FALSE)&lt;&gt;0),VLOOKUP(F66,'2. AWARDS'!$C$9:$O$35,10,FALSE)*(1+P66)*(1+(R66/9)),IF(AND(E66='2. AWARDS'!G52,O66&gt;N66,O66&gt;Q66,VLOOKUP(F66,'2. AWARDS'!$C$9:$O$35,10,FALSE)=0),X66*(1+P66)*(1+(R66/9)),IF(AND(E66='2. AWARDS'!H52,O66&gt;N66,O66&gt;Q66,VLOOKUP(F66,'2. AWARDS'!$C$9:$O$35,11,FALSE)&lt;&gt;0),VLOOKUP(F66,'2. AWARDS'!$C$9:$O$35,11,FALSE)*(1+P66)*(1+(R66/9)),IF(AND(E66='2. AWARDS'!H52,O66&gt;N66,O66&gt;Q66,VLOOKUP(F66,'2. AWARDS'!$C$9:$O$35,11,FALSE)=0),X66*(1+P66)*(1+(R66/9)),IF(AND(E66='2. AWARDS'!I52,O66&gt;N66,O66&gt;Q66,VLOOKUP(F66,'2. AWARDS'!$C$9:$O$35,12,FALSE)&lt;&gt;0),VLOOKUP(F66,'2. AWARDS'!$C$9:$O$35,12,FALSE)*(1+P66)*(1+(R66/9)),IF(AND(E66='2. AWARDS'!I52,O66&gt;N66,O66&gt;Q66,VLOOKUP(F66,'2. AWARDS'!$C$9:$O$35,12,FALSE)=0),X66*(1+P66)*(1+(R66/9)),IF(AND(E66='2. AWARDS'!J52,O66&gt;N66,O66&gt;Q66,VLOOKUP(F66,'2. AWARDS'!$C$9:$O$35,13,FALSE)&lt;&gt;0),VLOOKUP(F66,'2. AWARDS'!$C$9:$O$35,13,FALSE)*(1+P66)*(1+(R66/9)),IF(AND(E66='2. AWARDS'!J52,O66&gt;N66,O66&gt;Q66,VLOOKUP(F66,'2. AWARDS'!$C$9:$O$35,13,FALSE)=0),X66*(1+P66)*(1+(R66/9)),IF(AND(O66&lt;N66,O66&gt;Q66),X66*(1+P66)*(1+(R66/9)),IF(AND(E66='2. AWARDS'!F52,O66=MAX(N66,Q66),VLOOKUP(F66,'2. AWARDS'!$C$9:$O$35,9,FALSE)&lt;&gt;0),VLOOKUP(F66,'2. AWARDS'!$C$9:$O$35,9,FALSE)*(1+P66)*(1+(R66/9)),IF(AND(E66='2. AWARDS'!F52,O66=MAX(N66,Q66),VLOOKUP(F66,'2. AWARDS'!$C$9:$O$35,9,FALSE)=0),X66*(1+P66)*(1+(R66/9)),IF(AND(E66='2. AWARDS'!G52,O66=MAX(N66,Q66),VLOOKUP(F66,'2. AWARDS'!$C$9:$O$35,10,FALSE)&lt;&gt;0),VLOOKUP(F66,'2. AWARDS'!$C$9:$O$35,10,FALSE)*(1+P66)*(1+(R66/9)),IF(AND(E66='2. AWARDS'!G52,O66=MAX(N66,Q66),VLOOKUP(F66,'2. AWARDS'!$C$9:$O$35,10,FALSE)=0),X66*(1+P66)*(1+(R66/9)),IF(AND(E66='2. AWARDS'!H52,O66=MAX(N66,Q66),VLOOKUP(F66,'2. AWARDS'!$C$9:$O$35,11,FALSE)&lt;&gt;0),VLOOKUP(F66,'2. AWARDS'!$C$9:$O$35,11,FALSE)*(1+P66)*(1+(R66/9)),IF(AND(E66='2. AWARDS'!H52,O66=MAX(N66,Q66),VLOOKUP(F66,'2. AWARDS'!$C$9:$O$35,11,FALSE)=0),X66*(1+P66)*(1+(R66/9)),IF(AND(E66='2. AWARDS'!I52,O66=MAX(N66,Q66),VLOOKUP(F66,'2. AWARDS'!$C$9:$O$35,12,FALSE)&lt;&gt;0),VLOOKUP(F66,'2. AWARDS'!$C$9:$O$35,12,FALSE)*(1+P66)*(1+(R66/9)),IF(AND(E66='2. AWARDS'!I52,O66=MAX(N66,Q66),VLOOKUP(F66,'2. AWARDS'!$C$9:$O$35,12,FALSE)=0),X66*(1+P66)*(1+(R66/9)),IF(AND(E66='2. AWARDS'!J52,O66=MAX(N66,Q66),VLOOKUP(F66,'2. AWARDS'!$C$9:$O$35,13,FALSE)&lt;&gt;0),VLOOKUP(F66,'2. AWARDS'!$C$9:$O$35,13,FALSE)*(1+P66)*(1+(R66/9)),IF(AND(E66='2. AWARDS'!J52,O66=MAX(N66,Q66),VLOOKUP(F66,'2. AWARDS'!$C$9:$O$35,13,FALSE)=0),X66*(1+P66)*(1+(R66/9)),IF(AND(O66&lt;N66,O66&lt;Q66),X66*(1+P66),IF(AND(O66=N66,N66&lt;Q66,E66='2. AWARDS'!F52),VLOOKUP(F66,'2. AWARDS'!$C$9:$O$35,9,FALSE)*(1+P66),IF(AND(O66=N66,N66&lt;Q66,E66='2. AWARDS'!G52),VLOOKUP(F66,'2. AWARDS'!$C$9:$O$35,10,FALSE)*(1+P66),IF(AND(O66=N66,N66&lt;Q66,E66='2. AWARDS'!H52),VLOOKUP(F66,'2. AWARDS'!$C$9:$O$35,11,FALSE)*(1+P66),IF(AND(O66=N66,N66&lt;Q66,E66='2. AWARDS'!I52),VLOOKUP(F66,'2. AWARDS'!$C$9:$O$35,12,FALSE)*(1+P66),IF(AND(O66=N66,N66&lt;Q66,E66='2. AWARDS'!J52),VLOOKUP(F66,'2. AWARDS'!$C$9:$O$35,13,FALSE)*(1+P66),IF(AND(O66=Q66,N66&gt;Q66),X66*(1+P66)*(1+(R66/9)),IF(AND(E66='2. AWARDS'!F52,O66&gt;N66,O66&lt;Q66,VLOOKUP(F66,'2. AWARDS'!$C$9:$O$35,9,FALSE)&lt;&gt;0),VLOOKUP(F66,'2. AWARDS'!$C$9:$O$35,9,FALSE)*(1+P66),IF(AND(E66='2. AWARDS'!G52,O66&gt;N66,O66&lt;Q66,VLOOKUP(F66,'2. AWARDS'!$C$9:$O$35,10,FALSE)&lt;&gt;0),VLOOKUP(F66,'2. AWARDS'!$C$9:$O$35,10,FALSE)*(1+P66),IF(AND(E66='2. AWARDS'!H52,O66&gt;N66,O66&lt;Q66,VLOOKUP(F66,'2. AWARDS'!$C$9:$O$35,11,FALSE)&lt;&gt;0),VLOOKUP(F66,'2. AWARDS'!$C$9:$O$35,11,FALSE)*(1+P66),IF(AND(E66='2. AWARDS'!I52,O66&gt;N66,O66&lt;Q66,VLOOKUP(F66,'2. AWARDS'!$C$9:$O$35,12,FALSE)&lt;&gt;0),VLOOKUP(F66,'2. AWARDS'!$C$9:$O$35,12,FALSE)*(1+P66),IF(AND(E66='2. AWARDS'!J52,O66&gt;N66,O66&lt;Q66,VLOOKUP(F66,'2. AWARDS'!$C$9:$O$35,13,FALSE)&lt;&gt;0),VLOOKUP(F66,'2. AWARDS'!$C$9:$O$35,13,FALSE)*(1+P66),X66*(1+P66))))))))))))))))))))))))))))))))))</f>
        <v>#N/A</v>
      </c>
      <c r="AA66" s="820" t="e">
        <f t="shared" si="64"/>
        <v>#VALUE!</v>
      </c>
      <c r="AB66" s="684"/>
      <c r="AC66" s="770"/>
      <c r="AD66" s="770"/>
      <c r="AE66" s="780"/>
      <c r="AF66" s="1128">
        <f t="shared" si="59"/>
        <v>0</v>
      </c>
      <c r="AG66" s="781" t="e">
        <f>HLOOKUP(E66,'2. AWARDS'!$F$7:$J$40,32,FALSE)/5*HLOOKUP(E66,'2. AWARDS'!$F$7:$J$40,31,FALSE)*MAX(W66:AA66)*M66*HLOOKUP(E66,'2. AWARDS'!$F$7:$J$40,34,FALSE)*(L66/(38*2))</f>
        <v>#N/A</v>
      </c>
      <c r="AH66" s="788" t="e">
        <f>((HLOOKUP(E66,'2. AWARDS'!$F$7:$J$42,36,FALSE)/HLOOKUP(E66,'2. AWARDS'!$F$7:$J$42,35,FALSE)*HLOOKUP(E66,'2. AWARDS'!$F$7:$J$45,39,FALSE))/(HLOOKUP(E66,'2. AWARDS'!$F$7:$J$45,31,FALSE)*2)*L66*M66*HLOOKUP(E66,'2. AWARDS'!$F$7:$J$45,31,FALSE)*MAX(W66:AA66))</f>
        <v>#N/A</v>
      </c>
      <c r="AI66" s="682"/>
      <c r="AJ66" s="806"/>
      <c r="AK66" s="824"/>
      <c r="AL66" s="824"/>
      <c r="AM66" s="825"/>
      <c r="AN66" s="1013"/>
      <c r="AO66" s="841">
        <f>IF(AJ66="YES",HLOOKUP(E66,'2. AWARDS'!$F$7:$J$38,32,FALSE)/5*HLOOKUP(E66,'2. AWARDS'!$F$7:$J$37,31,FALSE)*L66/(HLOOKUP(E66,'2. AWARDS'!$F$7:$J$37,31,FALSE)*2)*M66*MAX(W66:AA66)*(1+HLOOKUP(E66,'2. AWARDS'!$F$7:$J$43,37,FALSE))*(1-AM66),0)</f>
        <v>0</v>
      </c>
      <c r="AP66" s="841">
        <f>IF(AK66="YES",HLOOKUP(E66,'2. AWARDS'!$F$7:$J$39,33,FALSE)/5*HLOOKUP(E66,'2. AWARDS'!$F$7:$J$37,31,FALSE)*L66/(HLOOKUP(E66,'2. AWARDS'!$F$7:$J$37,31,FALSE)*2)*M66*MAX(W66:AA66)*(1+HLOOKUP(E66,'2. AWARDS'!$F$7:$J$43,37,FALSE))*(1-AM66),0)</f>
        <v>0</v>
      </c>
      <c r="AQ66" s="841">
        <f>IF(AL66="YES",HLOOKUP(E66,'2. AWARDS'!$F$7:$J$47,40,FALSE)/5*HLOOKUP(E66,'2. AWARDS'!$F$7:$J$37,31,FALSE)*L66/(HLOOKUP(E66,'2. AWARDS'!$F$7:$J$37,31,FALSE)*2)*M66*MAX(W66:AA66)*(1+HLOOKUP(E66,'2. AWARDS'!$F$7:$J$43,37,FALSE))*(1-AM66),0)</f>
        <v>0</v>
      </c>
      <c r="AR66" s="845" t="e">
        <f>(IF(AJ66="YES",HLOOKUP(E66,'2. AWARDS'!$F$7:$J$39,32,FALSE),0)+IF(AK66="YES",HLOOKUP(E66,'2. AWARDS'!$F$7:$J$39,33,FALSE),0)+IF(AL66="YES",HLOOKUP(E66,'2. AWARDS'!$F$7:$J$47,40,FALSE),0))/5*(HLOOKUP(E66,'2. AWARDS'!$F$7:$J$39,31,FALSE)*2)*AM66*AN66</f>
        <v>#N/A</v>
      </c>
      <c r="AS66" s="684"/>
      <c r="AT66" s="856">
        <v>0.04</v>
      </c>
      <c r="AU66" s="1145">
        <f>'1. KEY DATA'!J$30</f>
        <v>0.09</v>
      </c>
      <c r="AV66" s="502"/>
      <c r="AW66" s="480">
        <f t="shared" si="60"/>
        <v>0</v>
      </c>
      <c r="AX66" s="502"/>
      <c r="AY66" s="1000"/>
      <c r="AZ66" s="1001"/>
      <c r="BA66" s="1001"/>
      <c r="BB66" s="1001"/>
      <c r="BC66" s="1001"/>
      <c r="BD66" s="1001"/>
      <c r="BE66" s="1001"/>
      <c r="BF66" s="1001"/>
      <c r="BG66" s="1001"/>
      <c r="BH66" s="1001"/>
      <c r="BI66" s="1022"/>
      <c r="BJ66" s="1022"/>
      <c r="BK66" s="1022"/>
      <c r="BL66" s="1023"/>
      <c r="BM66" s="302">
        <f t="shared" si="61"/>
        <v>1</v>
      </c>
      <c r="BN66" s="20"/>
      <c r="BO66" s="391" t="str">
        <f t="shared" si="65"/>
        <v>-</v>
      </c>
      <c r="BP66" s="392" t="str">
        <f t="shared" si="66"/>
        <v>-</v>
      </c>
      <c r="BQ66" s="392" t="str">
        <f t="shared" si="67"/>
        <v>-</v>
      </c>
      <c r="BR66" s="392" t="str">
        <f t="shared" si="68"/>
        <v>-</v>
      </c>
      <c r="BS66" s="392" t="str">
        <f t="shared" si="69"/>
        <v>-</v>
      </c>
      <c r="BT66" s="392" t="str">
        <f t="shared" si="70"/>
        <v>-</v>
      </c>
      <c r="BU66" s="392" t="str">
        <f t="shared" si="71"/>
        <v>-</v>
      </c>
      <c r="BV66" s="392" t="str">
        <f t="shared" si="72"/>
        <v>-</v>
      </c>
      <c r="BW66" s="392" t="str">
        <f t="shared" si="73"/>
        <v>-</v>
      </c>
      <c r="BX66" s="392" t="str">
        <f t="shared" si="74"/>
        <v>-</v>
      </c>
      <c r="BY66" s="393" t="str">
        <f t="shared" si="75"/>
        <v>-</v>
      </c>
      <c r="BZ66" s="393" t="str">
        <f t="shared" si="76"/>
        <v>-</v>
      </c>
      <c r="CA66" s="393" t="str">
        <f t="shared" si="77"/>
        <v>-</v>
      </c>
      <c r="CB66" s="394" t="str">
        <f t="shared" si="78"/>
        <v>-</v>
      </c>
    </row>
    <row r="67" spans="2:80" ht="15.75" thickBot="1">
      <c r="B67" s="220"/>
      <c r="C67" s="221"/>
      <c r="D67" s="622"/>
      <c r="E67" s="622"/>
      <c r="F67" s="622"/>
      <c r="G67" s="622"/>
      <c r="H67" s="622"/>
      <c r="I67" s="221"/>
      <c r="J67" s="221"/>
      <c r="K67" s="221"/>
      <c r="L67" s="222"/>
      <c r="M67" s="222"/>
      <c r="N67" s="622"/>
      <c r="O67" s="622"/>
      <c r="P67" s="622"/>
      <c r="Q67" s="622"/>
      <c r="R67" s="622"/>
      <c r="S67" s="651"/>
      <c r="T67" s="622"/>
      <c r="U67" s="622"/>
      <c r="V67" s="622"/>
      <c r="W67" s="622"/>
      <c r="X67" s="221"/>
      <c r="Y67" s="622"/>
      <c r="Z67" s="221" t="e">
        <f>IF(AND(E67='2. AWARDS'!F53,O67&gt;N67,O67&gt;Q67,VLOOKUP(F67,'2. AWARDS'!$C$9:$O$35,9,FALSE)&lt;&gt;0),VLOOKUP(F67,'2. AWARDS'!$C$9:$O$35,9,FALSE)*(1+P67)*(1+(R67/9)),IF(AND(E67='2. AWARDS'!F53,O67&gt;N67,O67&gt;Q67,VLOOKUP(F67,'2. AWARDS'!$C$9:$O$35,9,FALSE)=0),X67*(1+P67)*(1+(R67/9)),IF(AND(E67='2. AWARDS'!G53,O67&gt;N67,O67&gt;Q67,VLOOKUP(F67,'2. AWARDS'!$C$9:$O$35,10,FALSE)&lt;&gt;0),VLOOKUP(F67,'2. AWARDS'!$C$9:$O$35,10,FALSE)*(1+P67)*(1+(R67/9)),IF(AND(E67='2. AWARDS'!G53,O67&gt;N67,O67&gt;Q67,VLOOKUP(F67,'2. AWARDS'!$C$9:$O$35,10,FALSE)=0),X67*(1+P67)*(1+(R67/9)),IF(AND(E67='2. AWARDS'!H53,O67&gt;N67,O67&gt;Q67,VLOOKUP(F67,'2. AWARDS'!$C$9:$O$35,11,FALSE)&lt;&gt;0),VLOOKUP(F67,'2. AWARDS'!$C$9:$O$35,11,FALSE)*(1+P67)*(1+(R67/9)),IF(AND(E67='2. AWARDS'!H53,O67&gt;N67,O67&gt;Q67,VLOOKUP(F67,'2. AWARDS'!$C$9:$O$35,11,FALSE)=0),X67*(1+P67)*(1+(R67/9)),IF(AND(E67='2. AWARDS'!I53,O67&gt;N67,O67&gt;Q67,VLOOKUP(F67,'2. AWARDS'!$C$9:$O$35,12,FALSE)&lt;&gt;0),VLOOKUP(F67,'2. AWARDS'!$C$9:$O$35,12,FALSE)*(1+P67)*(1+(R67/9)),IF(AND(E67='2. AWARDS'!I53,O67&gt;N67,O67&gt;Q67,VLOOKUP(F67,'2. AWARDS'!$C$9:$O$35,12,FALSE)=0),X67*(1+P67)*(1+(R67/9)),IF(AND(E67='2. AWARDS'!J53,O67&gt;N67,O67&gt;Q67,VLOOKUP(F67,'2. AWARDS'!$C$9:$O$35,13,FALSE)&lt;&gt;0),VLOOKUP(F67,'2. AWARDS'!$C$9:$O$35,13,FALSE)*(1+P67)*(1+(R67/9)),IF(AND(E67='2. AWARDS'!J53,O67&gt;N67,O67&gt;Q67,VLOOKUP(F67,'2. AWARDS'!$C$9:$O$35,13,FALSE)=0),X67*(1+P67)*(1+(R67/9)),IF(AND(O67&lt;N67,O67&gt;Q67),X67*(1+P67)*(1+(R67/9)),IF(AND(E67='2. AWARDS'!F53,O67=MAX(N67,Q67),VLOOKUP(F67,'2. AWARDS'!$C$9:$O$35,9,FALSE)&lt;&gt;0),VLOOKUP(F67,'2. AWARDS'!$C$9:$O$35,9,FALSE)*(1+P67)*(1+(R67/9)),IF(AND(E67='2. AWARDS'!F53,O67=MAX(N67,Q67),VLOOKUP(F67,'2. AWARDS'!$C$9:$O$35,9,FALSE)=0),X67*(1+P67)*(1+(R67/9)),IF(AND(E67='2. AWARDS'!G53,O67=MAX(N67,Q67),VLOOKUP(F67,'2. AWARDS'!$C$9:$O$35,10,FALSE)&lt;&gt;0),VLOOKUP(F67,'2. AWARDS'!$C$9:$O$35,10,FALSE)*(1+P67)*(1+(R67/9)),IF(AND(E67='2. AWARDS'!G53,O67=MAX(N67,Q67),VLOOKUP(F67,'2. AWARDS'!$C$9:$O$35,10,FALSE)=0),X67*(1+P67)*(1+(R67/9)),IF(AND(E67='2. AWARDS'!H53,O67=MAX(N67,Q67),VLOOKUP(F67,'2. AWARDS'!$C$9:$O$35,11,FALSE)&lt;&gt;0),VLOOKUP(F67,'2. AWARDS'!$C$9:$O$35,11,FALSE)*(1+P67)*(1+(R67/9)),IF(AND(E67='2. AWARDS'!H53,O67=MAX(N67,Q67),VLOOKUP(F67,'2. AWARDS'!$C$9:$O$35,11,FALSE)=0),X67*(1+P67)*(1+(R67/9)),IF(AND(E67='2. AWARDS'!I53,O67=MAX(N67,Q67),VLOOKUP(F67,'2. AWARDS'!$C$9:$O$35,12,FALSE)&lt;&gt;0),VLOOKUP(F67,'2. AWARDS'!$C$9:$O$35,12,FALSE)*(1+P67)*(1+(R67/9)),IF(AND(E67='2. AWARDS'!I53,O67=MAX(N67,Q67),VLOOKUP(F67,'2. AWARDS'!$C$9:$O$35,12,FALSE)=0),X67*(1+P67)*(1+(R67/9)),IF(AND(E67='2. AWARDS'!J53,O67=MAX(N67,Q67),VLOOKUP(F67,'2. AWARDS'!$C$9:$O$35,13,FALSE)&lt;&gt;0),VLOOKUP(F67,'2. AWARDS'!$C$9:$O$35,13,FALSE)*(1+P67)*(1+(R67/9)),IF(AND(E67='2. AWARDS'!J53,O67=MAX(N67,Q67),VLOOKUP(F67,'2. AWARDS'!$C$9:$O$35,13,FALSE)=0),X67*(1+P67)*(1+(R67/9)),IF(AND(O67&lt;N67,O67&lt;Q67),X67*(1+P67),IF(AND(O67=N67,N67&lt;Q67,E67='2. AWARDS'!F53),VLOOKUP(F67,'2. AWARDS'!$C$9:$O$35,9,FALSE)*(1+P67),IF(AND(O67=N67,N67&lt;Q67,E67='2. AWARDS'!G53),VLOOKUP(F67,'2. AWARDS'!$C$9:$O$35,10,FALSE)*(1+P67),IF(AND(O67=N67,N67&lt;Q67,E67='2. AWARDS'!H53),VLOOKUP(F67,'2. AWARDS'!$C$9:$O$35,11,FALSE)*(1+P67),IF(AND(O67=N67,N67&lt;Q67,E67='2. AWARDS'!I53),VLOOKUP(F67,'2. AWARDS'!$C$9:$O$35,12,FALSE)*(1+P67),IF(AND(O67=N67,N67&lt;Q67,E67='2. AWARDS'!J53),VLOOKUP(F67,'2. AWARDS'!$C$9:$O$35,13,FALSE)*(1+P67),IF(AND(O67=Q67,N67&gt;Q67),X67*(1+P67)*(1+(R67/9)),IF(AND(E67='2. AWARDS'!F53,O67&gt;N67,O67&lt;Q67,VLOOKUP(F67,'2. AWARDS'!$C$9:$O$35,9,FALSE)&lt;&gt;0),VLOOKUP(F67,'2. AWARDS'!$C$9:$O$35,9,FALSE)*(1+P67),IF(AND(E67='2. AWARDS'!G53,O67&gt;N67,O67&lt;Q67,VLOOKUP(F67,'2. AWARDS'!$C$9:$O$35,10,FALSE)&lt;&gt;0),VLOOKUP(F67,'2. AWARDS'!$C$9:$O$35,10,FALSE)*(1+P67),IF(AND(E67='2. AWARDS'!H53,O67&gt;N67,O67&lt;Q67,VLOOKUP(F67,'2. AWARDS'!$C$9:$O$35,11,FALSE)&lt;&gt;0),VLOOKUP(F67,'2. AWARDS'!$C$9:$O$35,11,FALSE)*(1+P67),IF(AND(E67='2. AWARDS'!I53,O67&gt;N67,O67&lt;Q67,VLOOKUP(F67,'2. AWARDS'!$C$9:$O$35,12,FALSE)&lt;&gt;0),VLOOKUP(F67,'2. AWARDS'!$C$9:$O$35,12,FALSE)*(1+P67),IF(AND(E67='2. AWARDS'!J53,O67&gt;N67,O67&lt;Q67,VLOOKUP(F67,'2. AWARDS'!$C$9:$O$35,13,FALSE)&lt;&gt;0),VLOOKUP(F67,'2. AWARDS'!$C$9:$O$35,13,FALSE)*(1+P67),X67*(1+P67))))))))))))))))))))))))))))))))))</f>
        <v>#N/A</v>
      </c>
      <c r="AA67" s="221"/>
      <c r="AB67" s="20"/>
      <c r="AC67" s="220"/>
      <c r="AD67" s="220"/>
      <c r="AE67" s="220"/>
      <c r="AF67" s="220"/>
      <c r="AG67" s="220"/>
      <c r="AH67" s="220"/>
      <c r="AI67" s="227"/>
      <c r="AJ67" s="623"/>
      <c r="AK67" s="623"/>
      <c r="AL67" s="623"/>
      <c r="AM67" s="623"/>
      <c r="AN67" s="623"/>
      <c r="AO67" s="220"/>
      <c r="AP67" s="220"/>
      <c r="AQ67" s="220"/>
      <c r="AR67" s="220"/>
      <c r="AS67" s="227"/>
      <c r="AT67" s="222"/>
      <c r="AU67" s="222"/>
      <c r="AW67" s="235"/>
      <c r="AX67" s="235"/>
      <c r="AY67" s="235"/>
      <c r="AZ67" s="235"/>
      <c r="BA67" s="235"/>
      <c r="BB67" s="235"/>
      <c r="BC67" s="235"/>
      <c r="BD67" s="235"/>
      <c r="BE67" s="235"/>
      <c r="BF67" s="235"/>
      <c r="BG67" s="235"/>
      <c r="BH67" s="235"/>
      <c r="BI67" s="235"/>
      <c r="BJ67" s="227"/>
      <c r="BK67" s="182"/>
      <c r="BL67" s="182"/>
      <c r="BM67" s="27"/>
      <c r="BN67" s="26" t="s">
        <v>95</v>
      </c>
      <c r="BO67" s="250">
        <f>SUM(BO53:BO66)</f>
        <v>0</v>
      </c>
      <c r="BP67" s="251">
        <f t="shared" ref="BP67:CA67" si="80">SUM(BP53:BP66)</f>
        <v>0</v>
      </c>
      <c r="BQ67" s="251">
        <f t="shared" si="80"/>
        <v>0</v>
      </c>
      <c r="BR67" s="251">
        <f t="shared" si="80"/>
        <v>0</v>
      </c>
      <c r="BS67" s="251">
        <f t="shared" si="80"/>
        <v>0</v>
      </c>
      <c r="BT67" s="251">
        <f t="shared" si="80"/>
        <v>0</v>
      </c>
      <c r="BU67" s="251">
        <f t="shared" si="80"/>
        <v>0</v>
      </c>
      <c r="BV67" s="251">
        <f t="shared" si="80"/>
        <v>0</v>
      </c>
      <c r="BW67" s="251">
        <f t="shared" si="80"/>
        <v>0</v>
      </c>
      <c r="BX67" s="254">
        <f t="shared" si="80"/>
        <v>0</v>
      </c>
      <c r="BY67" s="254">
        <f t="shared" si="80"/>
        <v>0</v>
      </c>
      <c r="BZ67" s="251">
        <f t="shared" si="80"/>
        <v>0</v>
      </c>
      <c r="CA67" s="251">
        <f t="shared" si="80"/>
        <v>0</v>
      </c>
      <c r="CB67" s="255">
        <f>SUM(CB53:CB66)</f>
        <v>0</v>
      </c>
    </row>
    <row r="68" spans="2:80" ht="15.75" thickTop="1">
      <c r="B68" s="220"/>
      <c r="C68" s="221"/>
      <c r="D68" s="622"/>
      <c r="E68" s="622"/>
      <c r="F68" s="622"/>
      <c r="G68" s="622"/>
      <c r="H68" s="622"/>
      <c r="I68" s="221"/>
      <c r="J68" s="221"/>
      <c r="K68" s="221"/>
      <c r="L68" s="222"/>
      <c r="M68" s="222"/>
      <c r="N68" s="622"/>
      <c r="O68" s="622"/>
      <c r="P68" s="622"/>
      <c r="Q68" s="622"/>
      <c r="R68" s="622"/>
      <c r="S68" s="651"/>
      <c r="T68" s="622"/>
      <c r="U68" s="622"/>
      <c r="V68" s="622"/>
      <c r="W68" s="622"/>
      <c r="X68" s="221"/>
      <c r="Y68" s="622"/>
      <c r="Z68" s="221"/>
      <c r="AA68" s="221"/>
      <c r="AC68" s="220"/>
      <c r="AD68" s="220"/>
      <c r="AE68" s="220"/>
      <c r="AF68" s="220"/>
      <c r="AG68" s="220"/>
      <c r="AH68" s="220"/>
      <c r="AI68" s="227"/>
      <c r="AJ68" s="623"/>
      <c r="AK68" s="623"/>
      <c r="AL68" s="623"/>
      <c r="AM68" s="623"/>
      <c r="AN68" s="623"/>
      <c r="AO68" s="220"/>
      <c r="AP68" s="220"/>
      <c r="AQ68" s="220"/>
      <c r="AR68" s="220"/>
      <c r="AS68" s="227"/>
      <c r="AT68" s="222"/>
      <c r="AU68" s="222"/>
      <c r="AW68" s="222"/>
      <c r="AX68" s="222"/>
      <c r="AY68" s="222"/>
      <c r="AZ68" s="222"/>
      <c r="BA68" s="222"/>
      <c r="BB68" s="222"/>
      <c r="BC68" s="222"/>
      <c r="BD68" s="222"/>
      <c r="BE68" s="222"/>
      <c r="BF68" s="227"/>
      <c r="BG68" s="220"/>
      <c r="BH68" s="220"/>
      <c r="BI68" s="220"/>
      <c r="BJ68" s="182"/>
      <c r="BK68" s="182"/>
      <c r="BL68" s="182"/>
      <c r="BM68" s="27"/>
      <c r="BN68" s="27"/>
      <c r="BO68" s="182"/>
      <c r="BP68" s="182"/>
      <c r="BQ68" s="182"/>
      <c r="BR68" s="182"/>
      <c r="BS68" s="182"/>
      <c r="BT68" s="182"/>
      <c r="BU68" s="182"/>
      <c r="BV68" s="220"/>
      <c r="BW68" s="220"/>
      <c r="BX68" s="220"/>
      <c r="BY68" s="220"/>
      <c r="BZ68" s="220"/>
      <c r="CA68" s="220"/>
      <c r="CB68" s="220"/>
    </row>
    <row r="69" spans="2:80">
      <c r="B69" s="220"/>
      <c r="C69" s="220"/>
      <c r="D69" s="623"/>
      <c r="E69" s="623"/>
      <c r="F69" s="623"/>
      <c r="G69" s="623"/>
      <c r="H69" s="623"/>
      <c r="I69" s="220"/>
      <c r="J69" s="220"/>
      <c r="K69" s="220"/>
      <c r="L69" s="220"/>
      <c r="M69" s="220"/>
      <c r="N69" s="623"/>
      <c r="O69" s="623"/>
      <c r="P69" s="623"/>
      <c r="Q69" s="623"/>
      <c r="R69" s="623"/>
      <c r="S69" s="651"/>
      <c r="T69" s="623"/>
      <c r="U69" s="623"/>
      <c r="V69" s="623"/>
      <c r="W69" s="623"/>
      <c r="X69" s="220"/>
      <c r="Y69" s="623"/>
      <c r="Z69" s="220"/>
      <c r="AA69" s="220"/>
      <c r="AC69" s="220"/>
      <c r="AD69" s="220"/>
      <c r="AE69" s="220"/>
      <c r="AF69" s="220"/>
      <c r="AG69" s="220"/>
      <c r="AH69" s="220"/>
      <c r="AI69" s="227"/>
      <c r="AJ69" s="623"/>
      <c r="AK69" s="623"/>
      <c r="AL69" s="623"/>
      <c r="AM69" s="623"/>
      <c r="AN69" s="623"/>
      <c r="AO69" s="220"/>
      <c r="AP69" s="220"/>
      <c r="AQ69" s="220"/>
      <c r="AR69" s="220"/>
      <c r="AS69" s="227"/>
      <c r="AT69" s="220"/>
      <c r="AU69" s="220"/>
      <c r="AW69" s="220"/>
      <c r="AX69" s="220"/>
      <c r="AY69" s="220"/>
      <c r="AZ69" s="220"/>
      <c r="BA69" s="220"/>
      <c r="BB69" s="220"/>
      <c r="BC69" s="220"/>
      <c r="BD69" s="220"/>
      <c r="BE69" s="220"/>
      <c r="BF69" s="220"/>
      <c r="BG69" s="220"/>
      <c r="BH69" s="220"/>
      <c r="BI69" s="220"/>
      <c r="BJ69" s="220"/>
      <c r="BK69" s="220"/>
      <c r="BL69" s="220"/>
      <c r="BO69" s="220"/>
      <c r="BP69" s="220"/>
      <c r="BQ69" s="220"/>
      <c r="BR69" s="220"/>
      <c r="BS69" s="220"/>
      <c r="BT69" s="220"/>
      <c r="BU69" s="220"/>
      <c r="BV69" s="220"/>
      <c r="BW69" s="220"/>
      <c r="BX69" s="220"/>
      <c r="BY69" s="220"/>
      <c r="BZ69" s="220"/>
      <c r="CA69" s="220"/>
      <c r="CB69" s="220"/>
    </row>
    <row r="70" spans="2:80">
      <c r="B70" s="220"/>
      <c r="C70" s="220"/>
      <c r="D70" s="623"/>
      <c r="E70" s="623"/>
      <c r="F70" s="623"/>
      <c r="G70" s="623"/>
      <c r="H70" s="623"/>
      <c r="I70" s="220"/>
      <c r="J70" s="220"/>
      <c r="K70" s="220"/>
      <c r="L70" s="220"/>
      <c r="M70" s="220"/>
      <c r="N70" s="623"/>
      <c r="O70" s="623"/>
      <c r="P70" s="623"/>
      <c r="Q70" s="623"/>
      <c r="R70" s="623"/>
      <c r="S70" s="651"/>
      <c r="T70" s="623"/>
      <c r="U70" s="623"/>
      <c r="V70" s="623"/>
      <c r="W70" s="623"/>
      <c r="X70" s="220"/>
      <c r="Y70" s="623"/>
      <c r="Z70" s="220"/>
      <c r="AA70" s="220"/>
      <c r="AC70" s="220"/>
      <c r="AD70" s="220"/>
      <c r="AE70" s="220"/>
      <c r="AF70" s="220"/>
      <c r="AG70" s="220"/>
      <c r="AH70" s="220"/>
      <c r="AI70" s="227"/>
      <c r="AJ70" s="623"/>
      <c r="AK70" s="623"/>
      <c r="AL70" s="623"/>
      <c r="AM70" s="623"/>
      <c r="AN70" s="623"/>
      <c r="AO70" s="220"/>
      <c r="AP70" s="220"/>
      <c r="AQ70" s="220"/>
      <c r="AR70" s="220"/>
      <c r="AS70" s="227"/>
      <c r="AT70" s="220"/>
      <c r="AU70" s="220"/>
      <c r="AW70" s="220"/>
      <c r="AX70" s="220"/>
      <c r="AY70" s="220"/>
      <c r="AZ70" s="220"/>
      <c r="BA70" s="220"/>
      <c r="BB70" s="220"/>
      <c r="BC70" s="220"/>
      <c r="BD70" s="220"/>
      <c r="BE70" s="220"/>
      <c r="BF70" s="220"/>
      <c r="BG70" s="220"/>
      <c r="BH70" s="220"/>
      <c r="BI70" s="220"/>
      <c r="BJ70" s="220"/>
      <c r="BK70" s="220"/>
      <c r="BL70" s="220"/>
      <c r="BO70" s="220"/>
      <c r="BP70" s="220"/>
      <c r="BQ70" s="220"/>
      <c r="BR70" s="220"/>
      <c r="BS70" s="220"/>
      <c r="BT70" s="220"/>
      <c r="BU70" s="220"/>
      <c r="BV70" s="220"/>
      <c r="BW70" s="220"/>
      <c r="BX70" s="220"/>
      <c r="BY70" s="220"/>
      <c r="BZ70" s="220"/>
      <c r="CA70" s="220"/>
      <c r="CB70" s="220"/>
    </row>
    <row r="71" spans="2:80">
      <c r="S71" s="651"/>
      <c r="AI71" s="7"/>
      <c r="AS71" s="7"/>
    </row>
    <row r="72" spans="2:80">
      <c r="S72" s="651"/>
      <c r="AI72" s="7"/>
      <c r="AS72" s="7"/>
    </row>
    <row r="73" spans="2:80">
      <c r="S73" s="651"/>
    </row>
    <row r="74" spans="2:80">
      <c r="S74" s="651"/>
    </row>
    <row r="75" spans="2:80">
      <c r="S75" s="651"/>
    </row>
    <row r="76" spans="2:80">
      <c r="S76" s="651"/>
    </row>
    <row r="77" spans="2:80">
      <c r="S77" s="651"/>
    </row>
    <row r="78" spans="2:80">
      <c r="S78" s="651"/>
    </row>
    <row r="79" spans="2:80">
      <c r="S79" s="651"/>
    </row>
    <row r="80" spans="2:80">
      <c r="S80" s="651"/>
    </row>
    <row r="81" spans="19:19">
      <c r="S81" s="651"/>
    </row>
    <row r="82" spans="19:19">
      <c r="S82" s="448"/>
    </row>
  </sheetData>
  <dataConsolidate/>
  <mergeCells count="87">
    <mergeCell ref="BZ9:BZ10"/>
    <mergeCell ref="CA9:CA10"/>
    <mergeCell ref="CB9:CB10"/>
    <mergeCell ref="E9:F9"/>
    <mergeCell ref="U9:V9"/>
    <mergeCell ref="BT9:BT10"/>
    <mergeCell ref="BU9:BU10"/>
    <mergeCell ref="BV9:BV10"/>
    <mergeCell ref="BW9:BW10"/>
    <mergeCell ref="BX9:BX10"/>
    <mergeCell ref="BO9:BO10"/>
    <mergeCell ref="BP9:BP10"/>
    <mergeCell ref="BQ9:BQ10"/>
    <mergeCell ref="BR9:BR10"/>
    <mergeCell ref="BS9:BS10"/>
    <mergeCell ref="AU9:AU10"/>
    <mergeCell ref="BA9:BA10"/>
    <mergeCell ref="BY9:BY10"/>
    <mergeCell ref="T9:T10"/>
    <mergeCell ref="W9:W10"/>
    <mergeCell ref="X9:X10"/>
    <mergeCell ref="Y9:Y10"/>
    <mergeCell ref="Z9:Z10"/>
    <mergeCell ref="AA9:AA10"/>
    <mergeCell ref="AD9:AD10"/>
    <mergeCell ref="BL9:BL10"/>
    <mergeCell ref="AY9:AY10"/>
    <mergeCell ref="AZ9:AZ10"/>
    <mergeCell ref="D8:D10"/>
    <mergeCell ref="B8:B10"/>
    <mergeCell ref="Q8:R8"/>
    <mergeCell ref="O9:O10"/>
    <mergeCell ref="P9:P10"/>
    <mergeCell ref="Q9:Q10"/>
    <mergeCell ref="R9:R10"/>
    <mergeCell ref="O8:P8"/>
    <mergeCell ref="N8:N10"/>
    <mergeCell ref="H9:H10"/>
    <mergeCell ref="I9:I10"/>
    <mergeCell ref="BY15:CB50"/>
    <mergeCell ref="M8:M10"/>
    <mergeCell ref="AW8:AW10"/>
    <mergeCell ref="L8:L10"/>
    <mergeCell ref="BI15:BL49"/>
    <mergeCell ref="BB9:BB10"/>
    <mergeCell ref="BC9:BC10"/>
    <mergeCell ref="BD9:BD10"/>
    <mergeCell ref="BE9:BE10"/>
    <mergeCell ref="BF9:BF10"/>
    <mergeCell ref="BG9:BG10"/>
    <mergeCell ref="BH9:BH10"/>
    <mergeCell ref="BI9:BI10"/>
    <mergeCell ref="BJ9:BJ10"/>
    <mergeCell ref="BK9:BK10"/>
    <mergeCell ref="AJ9:AL9"/>
    <mergeCell ref="N2:R2"/>
    <mergeCell ref="AC8:AH8"/>
    <mergeCell ref="BW2:CA2"/>
    <mergeCell ref="BH2:BL2"/>
    <mergeCell ref="AT8:AU8"/>
    <mergeCell ref="BO8:CB8"/>
    <mergeCell ref="AY8:BL8"/>
    <mergeCell ref="BM8:BM10"/>
    <mergeCell ref="AC9:AC10"/>
    <mergeCell ref="AE9:AE10"/>
    <mergeCell ref="AG9:AG10"/>
    <mergeCell ref="AH9:AH10"/>
    <mergeCell ref="AO9:AO10"/>
    <mergeCell ref="AT9:AT10"/>
    <mergeCell ref="T8:W8"/>
    <mergeCell ref="N5:O5"/>
    <mergeCell ref="BH5:BI5"/>
    <mergeCell ref="BW5:BX5"/>
    <mergeCell ref="E8:K8"/>
    <mergeCell ref="J9:J10"/>
    <mergeCell ref="K9:K10"/>
    <mergeCell ref="AF9:AF10"/>
    <mergeCell ref="X8:AA8"/>
    <mergeCell ref="G9:G10"/>
    <mergeCell ref="AJ7:AR7"/>
    <mergeCell ref="AP9:AP10"/>
    <mergeCell ref="AQ9:AQ10"/>
    <mergeCell ref="AR8:AR10"/>
    <mergeCell ref="AO8:AQ8"/>
    <mergeCell ref="AJ8:AN8"/>
    <mergeCell ref="AM9:AM10"/>
    <mergeCell ref="AN9:AN10"/>
  </mergeCells>
  <dataValidations count="1">
    <dataValidation type="whole" allowBlank="1" showInputMessage="1" showErrorMessage="1" error="WHOLE NUMBER ONLY ALLOWED.  Do not enter fractional FTE.  Only actual number of employees at this pay rate is required as part-time hours are accounted for in the HOURS PER FORTNIGHT column." sqref="M53:M66 M14:M49">
      <formula1>0</formula1>
      <formula2>999</formula2>
    </dataValidation>
  </dataValidations>
  <pageMargins left="0.70866141732283472" right="0.70866141732283472" top="0.74803149606299213" bottom="0.74803149606299213" header="0.31496062992125984" footer="0.31496062992125984"/>
  <pageSetup scale="25" orientation="landscape" r:id="rId1"/>
  <ignoredErrors>
    <ignoredError sqref="AH53 AO42" evalError="1"/>
  </ignoredErrors>
</worksheet>
</file>

<file path=xl/worksheets/sheet5.xml><?xml version="1.0" encoding="utf-8"?>
<worksheet xmlns="http://schemas.openxmlformats.org/spreadsheetml/2006/main" xmlns:r="http://schemas.openxmlformats.org/officeDocument/2006/relationships">
  <sheetPr codeName="Sheet1">
    <tabColor theme="1"/>
    <pageSetUpPr fitToPage="1"/>
  </sheetPr>
  <dimension ref="A1:BB33"/>
  <sheetViews>
    <sheetView workbookViewId="0">
      <pane xSplit="2" ySplit="9" topLeftCell="C10" activePane="bottomRight" state="frozen"/>
      <selection pane="topRight" activeCell="C1" sqref="C1"/>
      <selection pane="bottomLeft" activeCell="A6" sqref="A6"/>
      <selection pane="bottomRight" activeCell="A10" sqref="A10"/>
    </sheetView>
  </sheetViews>
  <sheetFormatPr defaultRowHeight="15"/>
  <cols>
    <col min="1" max="1" width="2.140625" customWidth="1"/>
    <col min="2" max="2" width="35.7109375" customWidth="1"/>
    <col min="3" max="3" width="11.85546875" customWidth="1"/>
    <col min="4" max="4" width="12" bestFit="1" customWidth="1"/>
    <col min="5" max="5" width="9.28515625" customWidth="1"/>
    <col min="6" max="6" width="12.7109375" bestFit="1" customWidth="1"/>
    <col min="7" max="7" width="13.7109375" customWidth="1"/>
    <col min="8" max="8" width="8" bestFit="1" customWidth="1"/>
    <col min="9" max="9" width="10.28515625" customWidth="1"/>
    <col min="10" max="10" width="8.7109375" bestFit="1" customWidth="1"/>
    <col min="11" max="11" width="9.5703125" customWidth="1"/>
    <col min="12" max="12" width="9.7109375" customWidth="1"/>
    <col min="13" max="13" width="11.28515625" customWidth="1"/>
    <col min="14" max="14" width="11.5703125" bestFit="1" customWidth="1"/>
    <col min="15" max="15" width="9" customWidth="1"/>
    <col min="16" max="16" width="8" bestFit="1" customWidth="1"/>
    <col min="17" max="17" width="13" customWidth="1"/>
    <col min="18" max="18" width="2.140625" customWidth="1"/>
    <col min="19" max="19" width="10.28515625" customWidth="1"/>
    <col min="20" max="20" width="10.140625" customWidth="1"/>
    <col min="28" max="28" width="10.42578125" customWidth="1"/>
    <col min="30" max="30" width="11.140625" customWidth="1"/>
    <col min="32" max="32" width="11.5703125" customWidth="1"/>
    <col min="33" max="33" width="12.140625" customWidth="1"/>
    <col min="34" max="34" width="13.5703125" customWidth="1"/>
    <col min="35" max="35" width="2.28515625" customWidth="1"/>
    <col min="36" max="36" width="11.85546875" customWidth="1"/>
    <col min="37" max="37" width="10.140625" customWidth="1"/>
    <col min="38" max="38" width="9.85546875" customWidth="1"/>
    <col min="39" max="39" width="10" customWidth="1"/>
    <col min="40" max="40" width="10.42578125" customWidth="1"/>
    <col min="41" max="41" width="9.85546875" customWidth="1"/>
    <col min="42" max="42" width="10.7109375" customWidth="1"/>
    <col min="43" max="43" width="10" customWidth="1"/>
    <col min="44" max="44" width="10.28515625" customWidth="1"/>
    <col min="45" max="45" width="10.42578125" customWidth="1"/>
    <col min="46" max="46" width="11.85546875" customWidth="1"/>
    <col min="47" max="47" width="9.85546875" customWidth="1"/>
    <col min="48" max="48" width="12" customWidth="1"/>
    <col min="49" max="49" width="11.7109375" customWidth="1"/>
    <col min="50" max="50" width="11" bestFit="1" customWidth="1"/>
  </cols>
  <sheetData>
    <row r="1" spans="1:50" s="10" customFormat="1" ht="19.5" thickBot="1">
      <c r="A1" s="3">
        <f>'1. KEY DATA'!C3</f>
        <v>0</v>
      </c>
      <c r="O1" s="85"/>
      <c r="P1" s="86" t="s">
        <v>90</v>
      </c>
      <c r="Q1" s="87">
        <f>'1. KEY DATA'!C4</f>
        <v>0</v>
      </c>
      <c r="AL1" s="85"/>
      <c r="AM1" s="86" t="s">
        <v>90</v>
      </c>
      <c r="AN1" s="87">
        <f>'1. KEY DATA'!C4</f>
        <v>0</v>
      </c>
      <c r="AT1" s="58"/>
      <c r="AU1" s="58"/>
      <c r="AV1" s="58"/>
      <c r="AW1" s="159"/>
      <c r="AX1" s="160"/>
    </row>
    <row r="2" spans="1:50" s="10" customFormat="1" ht="18" customHeight="1">
      <c r="A2" s="3" t="s">
        <v>352</v>
      </c>
      <c r="B2" s="1"/>
      <c r="C2" s="1150">
        <f>'1. KEY DATA'!F6</f>
        <v>364</v>
      </c>
      <c r="K2" s="9"/>
      <c r="M2" s="1244" t="s">
        <v>152</v>
      </c>
      <c r="N2" s="1245"/>
      <c r="O2" s="1245"/>
      <c r="P2" s="1245"/>
      <c r="Q2" s="1246"/>
      <c r="S2" s="1146" t="s">
        <v>200</v>
      </c>
      <c r="AJ2" s="1244" t="s">
        <v>152</v>
      </c>
      <c r="AK2" s="1245"/>
      <c r="AL2" s="1245"/>
      <c r="AM2" s="1245"/>
      <c r="AN2" s="1246"/>
      <c r="AT2" s="161"/>
      <c r="AU2" s="161"/>
      <c r="AV2" s="161"/>
      <c r="AW2" s="161"/>
      <c r="AX2" s="161"/>
    </row>
    <row r="3" spans="1:50" s="10" customFormat="1" ht="12.95" customHeight="1">
      <c r="A3" s="3"/>
      <c r="K3" s="9"/>
      <c r="M3" s="104"/>
      <c r="N3" s="114"/>
      <c r="O3" s="106" t="s">
        <v>153</v>
      </c>
      <c r="P3" s="107"/>
      <c r="Q3" s="108"/>
      <c r="S3" s="1146"/>
      <c r="AJ3" s="104"/>
      <c r="AK3" s="114"/>
      <c r="AL3" s="106" t="s">
        <v>153</v>
      </c>
      <c r="AM3" s="107"/>
      <c r="AN3" s="108"/>
      <c r="AT3" s="61"/>
      <c r="AU3" s="58"/>
      <c r="AV3" s="66"/>
      <c r="AW3" s="61"/>
      <c r="AX3" s="59"/>
    </row>
    <row r="4" spans="1:50" s="10" customFormat="1" ht="12.95" customHeight="1">
      <c r="A4" s="3"/>
      <c r="M4" s="105"/>
      <c r="N4" s="117"/>
      <c r="O4" s="106" t="s">
        <v>161</v>
      </c>
      <c r="P4" s="107"/>
      <c r="Q4" s="108"/>
      <c r="S4" s="1146"/>
      <c r="AJ4" s="105"/>
      <c r="AK4" s="117"/>
      <c r="AL4" s="106" t="s">
        <v>161</v>
      </c>
      <c r="AM4" s="107"/>
      <c r="AN4" s="108"/>
      <c r="AT4" s="61"/>
      <c r="AU4" s="58"/>
      <c r="AV4" s="66"/>
      <c r="AW4" s="61"/>
      <c r="AX4" s="59"/>
    </row>
    <row r="5" spans="1:50" s="10" customFormat="1" ht="12.95" customHeight="1" thickBot="1">
      <c r="A5" s="3"/>
      <c r="M5" s="1218"/>
      <c r="N5" s="1219"/>
      <c r="O5" s="109" t="s">
        <v>154</v>
      </c>
      <c r="P5" s="110"/>
      <c r="Q5" s="111"/>
      <c r="S5" s="1146"/>
      <c r="AJ5" s="118"/>
      <c r="AK5" s="119"/>
      <c r="AL5" s="109" t="s">
        <v>154</v>
      </c>
      <c r="AM5" s="110"/>
      <c r="AN5" s="111"/>
      <c r="AT5" s="61"/>
      <c r="AU5" s="59"/>
      <c r="AV5" s="66"/>
      <c r="AW5" s="61"/>
      <c r="AX5" s="59"/>
    </row>
    <row r="6" spans="1:50" s="10" customFormat="1" ht="21.75" thickBot="1">
      <c r="A6" s="3"/>
      <c r="B6" s="133" t="s">
        <v>130</v>
      </c>
      <c r="E6" s="11"/>
      <c r="F6" s="11"/>
      <c r="S6" s="11"/>
      <c r="T6" s="283" t="s">
        <v>201</v>
      </c>
    </row>
    <row r="7" spans="1:50" s="9" customFormat="1" ht="15.75" thickBot="1">
      <c r="A7" s="1"/>
      <c r="B7" s="897" t="s">
        <v>336</v>
      </c>
      <c r="C7" s="1455" t="s">
        <v>207</v>
      </c>
      <c r="D7" s="1456"/>
      <c r="E7" s="1456"/>
      <c r="F7" s="1456"/>
      <c r="G7" s="1456"/>
      <c r="H7" s="1456"/>
      <c r="I7" s="1456"/>
      <c r="J7" s="1456"/>
      <c r="K7" s="1456"/>
      <c r="L7" s="1456"/>
      <c r="M7" s="1456"/>
      <c r="N7" s="1456"/>
      <c r="O7" s="1456"/>
      <c r="P7" s="1457"/>
      <c r="Q7" s="1458" t="s">
        <v>170</v>
      </c>
      <c r="S7" s="1460" t="s">
        <v>240</v>
      </c>
      <c r="T7" s="1465" t="s">
        <v>208</v>
      </c>
      <c r="U7" s="1466"/>
      <c r="V7" s="1466"/>
      <c r="W7" s="1466"/>
      <c r="X7" s="1466"/>
      <c r="Y7" s="1466"/>
      <c r="Z7" s="1466"/>
      <c r="AA7" s="1466"/>
      <c r="AB7" s="1466"/>
      <c r="AC7" s="1466"/>
      <c r="AD7" s="1466"/>
      <c r="AE7" s="1466"/>
      <c r="AF7" s="1466"/>
      <c r="AG7" s="1467"/>
      <c r="AH7" s="1370" t="s">
        <v>186</v>
      </c>
      <c r="AJ7" s="1437" t="s">
        <v>150</v>
      </c>
      <c r="AK7" s="1438"/>
      <c r="AL7" s="1438"/>
      <c r="AM7" s="1438"/>
      <c r="AN7" s="1438"/>
      <c r="AO7" s="1438"/>
      <c r="AP7" s="1438"/>
      <c r="AQ7" s="1438"/>
      <c r="AR7" s="1438"/>
      <c r="AS7" s="1438"/>
      <c r="AT7" s="1438"/>
      <c r="AU7" s="1438"/>
      <c r="AV7" s="1438"/>
      <c r="AW7" s="1439"/>
      <c r="AX7" s="220"/>
    </row>
    <row r="8" spans="1:50" s="9" customFormat="1" ht="15" customHeight="1" thickBot="1">
      <c r="B8" s="137"/>
      <c r="C8" s="1463" t="s">
        <v>87</v>
      </c>
      <c r="D8" s="1464"/>
      <c r="E8" s="1464"/>
      <c r="F8" s="1440" t="s">
        <v>7</v>
      </c>
      <c r="G8" s="1441"/>
      <c r="H8" s="1452" t="s">
        <v>8</v>
      </c>
      <c r="I8" s="1452" t="s">
        <v>61</v>
      </c>
      <c r="J8" s="1452" t="s">
        <v>12</v>
      </c>
      <c r="K8" s="612"/>
      <c r="L8" s="612"/>
      <c r="M8" s="612"/>
      <c r="N8" s="612"/>
      <c r="O8" s="612"/>
      <c r="P8" s="613"/>
      <c r="Q8" s="1459"/>
      <c r="S8" s="1461"/>
      <c r="T8" s="1422">
        <f>'1. KEY DATA'!$C$34</f>
        <v>0</v>
      </c>
      <c r="U8" s="1398">
        <f>'1. KEY DATA'!$C$35</f>
        <v>0</v>
      </c>
      <c r="V8" s="1398">
        <f>'1. KEY DATA'!$C$36</f>
        <v>0</v>
      </c>
      <c r="W8" s="1398">
        <f>'1. KEY DATA'!$C$37</f>
        <v>0</v>
      </c>
      <c r="X8" s="1398">
        <f>'1. KEY DATA'!$C$38</f>
        <v>0</v>
      </c>
      <c r="Y8" s="1398">
        <f>'1. KEY DATA'!$C$39</f>
        <v>0</v>
      </c>
      <c r="Z8" s="1398">
        <f>'1. KEY DATA'!$C$40</f>
        <v>0</v>
      </c>
      <c r="AA8" s="1398">
        <f>'1. KEY DATA'!$C$41</f>
        <v>0</v>
      </c>
      <c r="AB8" s="1398">
        <f>'1. KEY DATA'!$C$42</f>
        <v>0</v>
      </c>
      <c r="AC8" s="1398">
        <f>'1. KEY DATA'!$C$43</f>
        <v>0</v>
      </c>
      <c r="AD8" s="1446" t="str">
        <f>'1. KEY DATA'!C44</f>
        <v>Health Professnals</v>
      </c>
      <c r="AE8" s="1444" t="str">
        <f>'1. KEY DATA'!C46</f>
        <v>Accommodation</v>
      </c>
      <c r="AF8" s="1446" t="str">
        <f>'1. KEY DATA'!C47</f>
        <v>Commercial &amp; Fund Raising</v>
      </c>
      <c r="AG8" s="1450" t="str">
        <f>'1. KEY DATA'!C48</f>
        <v>Admin Overheads</v>
      </c>
      <c r="AH8" s="1371"/>
      <c r="AJ8" s="1447" t="s">
        <v>98</v>
      </c>
      <c r="AK8" s="1448"/>
      <c r="AL8" s="1448"/>
      <c r="AM8" s="1448"/>
      <c r="AN8" s="1448"/>
      <c r="AO8" s="1448"/>
      <c r="AP8" s="1448"/>
      <c r="AQ8" s="1448"/>
      <c r="AR8" s="1448"/>
      <c r="AS8" s="1448"/>
      <c r="AT8" s="1448"/>
      <c r="AU8" s="1448"/>
      <c r="AV8" s="1449"/>
      <c r="AW8" s="1442" t="str">
        <f>AG8</f>
        <v>Admin Overheads</v>
      </c>
      <c r="AX8" s="1453" t="s">
        <v>6</v>
      </c>
    </row>
    <row r="9" spans="1:50" s="9" customFormat="1" ht="45.75" customHeight="1" thickBot="1">
      <c r="B9" s="603" t="s">
        <v>239</v>
      </c>
      <c r="C9" s="609" t="s">
        <v>99</v>
      </c>
      <c r="D9" s="604" t="s">
        <v>97</v>
      </c>
      <c r="E9" s="608" t="s">
        <v>155</v>
      </c>
      <c r="F9" s="605" t="s">
        <v>88</v>
      </c>
      <c r="G9" s="605" t="s">
        <v>89</v>
      </c>
      <c r="H9" s="1359"/>
      <c r="I9" s="1359"/>
      <c r="J9" s="1359"/>
      <c r="K9" s="605" t="s">
        <v>13</v>
      </c>
      <c r="L9" s="605" t="s">
        <v>62</v>
      </c>
      <c r="M9" s="605" t="s">
        <v>20</v>
      </c>
      <c r="N9" s="605" t="s">
        <v>59</v>
      </c>
      <c r="O9" s="605" t="s">
        <v>14</v>
      </c>
      <c r="P9" s="607" t="s">
        <v>5</v>
      </c>
      <c r="Q9" s="277" t="s">
        <v>3</v>
      </c>
      <c r="S9" s="1462"/>
      <c r="T9" s="1423"/>
      <c r="U9" s="1399"/>
      <c r="V9" s="1399"/>
      <c r="W9" s="1399"/>
      <c r="X9" s="1399"/>
      <c r="Y9" s="1399"/>
      <c r="Z9" s="1399"/>
      <c r="AA9" s="1399"/>
      <c r="AB9" s="1399"/>
      <c r="AC9" s="1399"/>
      <c r="AD9" s="1414"/>
      <c r="AE9" s="1445"/>
      <c r="AF9" s="1414"/>
      <c r="AG9" s="1451"/>
      <c r="AH9" s="1372"/>
      <c r="AJ9" s="256">
        <f>'1. KEY DATA'!$C$34</f>
        <v>0</v>
      </c>
      <c r="AK9" s="236">
        <f>'1. KEY DATA'!$C$35</f>
        <v>0</v>
      </c>
      <c r="AL9" s="236">
        <f>'1. KEY DATA'!$C$36</f>
        <v>0</v>
      </c>
      <c r="AM9" s="962">
        <f>'1. KEY DATA'!$C$37</f>
        <v>0</v>
      </c>
      <c r="AN9" s="236">
        <f>'1. KEY DATA'!$C$38</f>
        <v>0</v>
      </c>
      <c r="AO9" s="236">
        <f>'1. KEY DATA'!$C$39</f>
        <v>0</v>
      </c>
      <c r="AP9" s="236">
        <f>'1. KEY DATA'!$C$40</f>
        <v>0</v>
      </c>
      <c r="AQ9" s="236">
        <f>'1. KEY DATA'!$C$41</f>
        <v>0</v>
      </c>
      <c r="AR9" s="236">
        <f>'1. KEY DATA'!$C$42</f>
        <v>0</v>
      </c>
      <c r="AS9" s="237">
        <f>'1. KEY DATA'!$C$43</f>
        <v>0</v>
      </c>
      <c r="AT9" s="238" t="str">
        <f>AD8</f>
        <v>Health Professnals</v>
      </c>
      <c r="AU9" s="257" t="str">
        <f>AE8</f>
        <v>Accommodation</v>
      </c>
      <c r="AV9" s="257" t="str">
        <f>AF8</f>
        <v>Commercial &amp; Fund Raising</v>
      </c>
      <c r="AW9" s="1443"/>
      <c r="AX9" s="1454"/>
    </row>
    <row r="10" spans="1:50" s="9" customFormat="1">
      <c r="B10" s="212"/>
      <c r="C10" s="1024"/>
      <c r="D10" s="1025"/>
      <c r="E10" s="1026"/>
      <c r="F10" s="1027"/>
      <c r="G10" s="1027"/>
      <c r="H10" s="1027"/>
      <c r="I10" s="1027"/>
      <c r="J10" s="1027"/>
      <c r="K10" s="1027"/>
      <c r="L10" s="1027"/>
      <c r="M10" s="1027"/>
      <c r="N10" s="1027"/>
      <c r="O10" s="1027"/>
      <c r="P10" s="1028"/>
      <c r="Q10" s="1029">
        <f t="shared" ref="Q10:Q29" si="0">SUM(C10:P10)</f>
        <v>0</v>
      </c>
      <c r="R10" s="220"/>
      <c r="S10" s="258"/>
      <c r="T10" s="259"/>
      <c r="U10" s="260"/>
      <c r="V10" s="260"/>
      <c r="W10" s="260"/>
      <c r="X10" s="260"/>
      <c r="Y10" s="260"/>
      <c r="Z10" s="260"/>
      <c r="AA10" s="261"/>
      <c r="AB10" s="261"/>
      <c r="AC10" s="261"/>
      <c r="AD10" s="262"/>
      <c r="AE10" s="262"/>
      <c r="AF10" s="262"/>
      <c r="AG10" s="262"/>
      <c r="AH10" s="263">
        <f t="shared" ref="AH10:AH29" si="1">S10-SUM(T10:AG10)</f>
        <v>0</v>
      </c>
      <c r="AJ10" s="242" t="str">
        <f>IF($Q10&gt;0,IF($AH10=0,$Q10/$S10*T10,"alloc error"),"-")</f>
        <v>-</v>
      </c>
      <c r="AK10" s="243" t="str">
        <f t="shared" ref="AK10:AX10" si="2">IF($Q10&gt;0,IF($AH10=0,$Q10/$S10*U10,"alloc error"),"-")</f>
        <v>-</v>
      </c>
      <c r="AL10" s="243" t="str">
        <f t="shared" si="2"/>
        <v>-</v>
      </c>
      <c r="AM10" s="243" t="str">
        <f t="shared" si="2"/>
        <v>-</v>
      </c>
      <c r="AN10" s="243" t="str">
        <f t="shared" si="2"/>
        <v>-</v>
      </c>
      <c r="AO10" s="243" t="str">
        <f t="shared" si="2"/>
        <v>-</v>
      </c>
      <c r="AP10" s="243" t="str">
        <f t="shared" si="2"/>
        <v>-</v>
      </c>
      <c r="AQ10" s="243" t="str">
        <f t="shared" si="2"/>
        <v>-</v>
      </c>
      <c r="AR10" s="243" t="str">
        <f t="shared" si="2"/>
        <v>-</v>
      </c>
      <c r="AS10" s="243" t="str">
        <f t="shared" si="2"/>
        <v>-</v>
      </c>
      <c r="AT10" s="970" t="str">
        <f t="shared" si="2"/>
        <v>-</v>
      </c>
      <c r="AU10" s="970" t="str">
        <f t="shared" si="2"/>
        <v>-</v>
      </c>
      <c r="AV10" s="970" t="str">
        <f t="shared" si="2"/>
        <v>-</v>
      </c>
      <c r="AW10" s="243" t="str">
        <f t="shared" si="2"/>
        <v>-</v>
      </c>
      <c r="AX10" s="971" t="str">
        <f t="shared" si="2"/>
        <v>-</v>
      </c>
    </row>
    <row r="11" spans="1:50" s="9" customFormat="1">
      <c r="B11" s="231"/>
      <c r="C11" s="1030"/>
      <c r="D11" s="1031"/>
      <c r="E11" s="1032"/>
      <c r="F11" s="1033"/>
      <c r="G11" s="1033"/>
      <c r="H11" s="1033"/>
      <c r="I11" s="1033"/>
      <c r="J11" s="1033"/>
      <c r="K11" s="1033"/>
      <c r="L11" s="1033"/>
      <c r="M11" s="1033"/>
      <c r="N11" s="1033"/>
      <c r="O11" s="1033"/>
      <c r="P11" s="1034"/>
      <c r="Q11" s="1035">
        <f t="shared" si="0"/>
        <v>0</v>
      </c>
      <c r="R11" s="220"/>
      <c r="S11" s="264"/>
      <c r="T11" s="265"/>
      <c r="U11" s="266"/>
      <c r="V11" s="266"/>
      <c r="W11" s="266"/>
      <c r="X11" s="266"/>
      <c r="Y11" s="266"/>
      <c r="Z11" s="266"/>
      <c r="AA11" s="267"/>
      <c r="AB11" s="267"/>
      <c r="AC11" s="267"/>
      <c r="AD11" s="268"/>
      <c r="AE11" s="268"/>
      <c r="AF11" s="268"/>
      <c r="AG11" s="268"/>
      <c r="AH11" s="269">
        <f t="shared" si="1"/>
        <v>0</v>
      </c>
      <c r="AJ11" s="244" t="str">
        <f t="shared" ref="AJ11:AJ29" si="3">IF($Q11&gt;0,IF($AH11=0,$Q11/$S11*T11,"alloc error"),"-")</f>
        <v>-</v>
      </c>
      <c r="AK11" s="245" t="str">
        <f t="shared" ref="AK11:AK29" si="4">IF($Q11&gt;0,IF($AH11=0,$Q11/$S11*U11,"alloc error"),"-")</f>
        <v>-</v>
      </c>
      <c r="AL11" s="245" t="str">
        <f t="shared" ref="AL11:AL29" si="5">IF($Q11&gt;0,IF($AH11=0,$Q11/$S11*V11,"alloc error"),"-")</f>
        <v>-</v>
      </c>
      <c r="AM11" s="245" t="str">
        <f t="shared" ref="AM11:AM29" si="6">IF($Q11&gt;0,IF($AH11=0,$Q11/$S11*W11,"alloc error"),"-")</f>
        <v>-</v>
      </c>
      <c r="AN11" s="245" t="str">
        <f t="shared" ref="AN11:AN29" si="7">IF($Q11&gt;0,IF($AH11=0,$Q11/$S11*X11,"alloc error"),"-")</f>
        <v>-</v>
      </c>
      <c r="AO11" s="245" t="str">
        <f t="shared" ref="AO11:AO29" si="8">IF($Q11&gt;0,IF($AH11=0,$Q11/$S11*Y11,"alloc error"),"-")</f>
        <v>-</v>
      </c>
      <c r="AP11" s="245" t="str">
        <f t="shared" ref="AP11:AP29" si="9">IF($Q11&gt;0,IF($AH11=0,$Q11/$S11*Z11,"alloc error"),"-")</f>
        <v>-</v>
      </c>
      <c r="AQ11" s="245" t="str">
        <f t="shared" ref="AQ11:AQ29" si="10">IF($Q11&gt;0,IF($AH11=0,$Q11/$S11*AA11,"alloc error"),"-")</f>
        <v>-</v>
      </c>
      <c r="AR11" s="245" t="str">
        <f t="shared" ref="AR11:AR29" si="11">IF($Q11&gt;0,IF($AH11=0,$Q11/$S11*AB11,"alloc error"),"-")</f>
        <v>-</v>
      </c>
      <c r="AS11" s="245" t="str">
        <f t="shared" ref="AS11:AS29" si="12">IF($Q11&gt;0,IF($AH11=0,$Q11/$S11*AC11,"alloc error"),"-")</f>
        <v>-</v>
      </c>
      <c r="AT11" s="972" t="str">
        <f t="shared" ref="AT11:AT29" si="13">IF($Q11&gt;0,IF($AH11=0,$Q11/$S11*AD11,"alloc error"),"-")</f>
        <v>-</v>
      </c>
      <c r="AU11" s="972" t="str">
        <f t="shared" ref="AU11:AU29" si="14">IF($Q11&gt;0,IF($AH11=0,$Q11/$S11*AE11,"alloc error"),"-")</f>
        <v>-</v>
      </c>
      <c r="AV11" s="972" t="str">
        <f t="shared" ref="AV11:AV29" si="15">IF($Q11&gt;0,IF($AH11=0,$Q11/$S11*AF11,"alloc error"),"-")</f>
        <v>-</v>
      </c>
      <c r="AW11" s="245" t="str">
        <f t="shared" ref="AW11:AW29" si="16">IF($Q11&gt;0,IF($AH11=0,$Q11/$S11*AG11,"alloc error"),"-")</f>
        <v>-</v>
      </c>
      <c r="AX11" s="973" t="str">
        <f t="shared" ref="AX11:AX29" si="17">IF($Q11&gt;0,IF($AH11=0,$Q11/$S11*AH11,"alloc error"),"-")</f>
        <v>-</v>
      </c>
    </row>
    <row r="12" spans="1:50" s="9" customFormat="1">
      <c r="B12" s="231"/>
      <c r="C12" s="1030"/>
      <c r="D12" s="1036"/>
      <c r="E12" s="1032"/>
      <c r="F12" s="1033"/>
      <c r="G12" s="1033"/>
      <c r="H12" s="1033"/>
      <c r="I12" s="1033"/>
      <c r="J12" s="1033"/>
      <c r="K12" s="1033"/>
      <c r="L12" s="1033"/>
      <c r="M12" s="1033"/>
      <c r="N12" s="1033"/>
      <c r="O12" s="1033"/>
      <c r="P12" s="1034"/>
      <c r="Q12" s="1035">
        <f t="shared" si="0"/>
        <v>0</v>
      </c>
      <c r="R12" s="220"/>
      <c r="S12" s="264"/>
      <c r="T12" s="265"/>
      <c r="U12" s="266"/>
      <c r="V12" s="266"/>
      <c r="W12" s="266"/>
      <c r="X12" s="266"/>
      <c r="Y12" s="266"/>
      <c r="Z12" s="266"/>
      <c r="AA12" s="267"/>
      <c r="AB12" s="267"/>
      <c r="AC12" s="267"/>
      <c r="AD12" s="268"/>
      <c r="AE12" s="268"/>
      <c r="AF12" s="268"/>
      <c r="AG12" s="268"/>
      <c r="AH12" s="269">
        <f t="shared" si="1"/>
        <v>0</v>
      </c>
      <c r="AJ12" s="244" t="str">
        <f t="shared" si="3"/>
        <v>-</v>
      </c>
      <c r="AK12" s="245" t="str">
        <f t="shared" si="4"/>
        <v>-</v>
      </c>
      <c r="AL12" s="245" t="str">
        <f t="shared" si="5"/>
        <v>-</v>
      </c>
      <c r="AM12" s="245" t="str">
        <f t="shared" si="6"/>
        <v>-</v>
      </c>
      <c r="AN12" s="245" t="str">
        <f t="shared" si="7"/>
        <v>-</v>
      </c>
      <c r="AO12" s="245" t="str">
        <f t="shared" si="8"/>
        <v>-</v>
      </c>
      <c r="AP12" s="245" t="str">
        <f t="shared" si="9"/>
        <v>-</v>
      </c>
      <c r="AQ12" s="245" t="str">
        <f t="shared" si="10"/>
        <v>-</v>
      </c>
      <c r="AR12" s="245" t="str">
        <f t="shared" si="11"/>
        <v>-</v>
      </c>
      <c r="AS12" s="245" t="str">
        <f t="shared" si="12"/>
        <v>-</v>
      </c>
      <c r="AT12" s="972" t="str">
        <f t="shared" si="13"/>
        <v>-</v>
      </c>
      <c r="AU12" s="972" t="str">
        <f t="shared" si="14"/>
        <v>-</v>
      </c>
      <c r="AV12" s="972" t="str">
        <f t="shared" si="15"/>
        <v>-</v>
      </c>
      <c r="AW12" s="245" t="str">
        <f t="shared" si="16"/>
        <v>-</v>
      </c>
      <c r="AX12" s="973" t="str">
        <f t="shared" si="17"/>
        <v>-</v>
      </c>
    </row>
    <row r="13" spans="1:50" s="9" customFormat="1">
      <c r="B13" s="231"/>
      <c r="C13" s="1030"/>
      <c r="D13" s="1036"/>
      <c r="E13" s="1032"/>
      <c r="F13" s="1033"/>
      <c r="G13" s="1033"/>
      <c r="H13" s="1033"/>
      <c r="I13" s="1033"/>
      <c r="J13" s="1033"/>
      <c r="K13" s="1033"/>
      <c r="L13" s="1033"/>
      <c r="M13" s="1033"/>
      <c r="N13" s="1033"/>
      <c r="O13" s="1033"/>
      <c r="P13" s="1034"/>
      <c r="Q13" s="1035">
        <f t="shared" si="0"/>
        <v>0</v>
      </c>
      <c r="R13" s="220"/>
      <c r="S13" s="264"/>
      <c r="T13" s="265"/>
      <c r="U13" s="266"/>
      <c r="V13" s="266"/>
      <c r="W13" s="266"/>
      <c r="X13" s="266"/>
      <c r="Y13" s="266"/>
      <c r="Z13" s="266"/>
      <c r="AA13" s="267"/>
      <c r="AB13" s="267"/>
      <c r="AC13" s="267"/>
      <c r="AD13" s="268"/>
      <c r="AE13" s="268"/>
      <c r="AF13" s="268"/>
      <c r="AG13" s="268"/>
      <c r="AH13" s="269">
        <f t="shared" si="1"/>
        <v>0</v>
      </c>
      <c r="AJ13" s="244" t="str">
        <f t="shared" si="3"/>
        <v>-</v>
      </c>
      <c r="AK13" s="245" t="str">
        <f t="shared" si="4"/>
        <v>-</v>
      </c>
      <c r="AL13" s="245" t="str">
        <f t="shared" si="5"/>
        <v>-</v>
      </c>
      <c r="AM13" s="245" t="str">
        <f t="shared" si="6"/>
        <v>-</v>
      </c>
      <c r="AN13" s="245" t="str">
        <f t="shared" si="7"/>
        <v>-</v>
      </c>
      <c r="AO13" s="245" t="str">
        <f t="shared" si="8"/>
        <v>-</v>
      </c>
      <c r="AP13" s="245" t="str">
        <f t="shared" si="9"/>
        <v>-</v>
      </c>
      <c r="AQ13" s="245" t="str">
        <f t="shared" si="10"/>
        <v>-</v>
      </c>
      <c r="AR13" s="245" t="str">
        <f t="shared" si="11"/>
        <v>-</v>
      </c>
      <c r="AS13" s="245" t="str">
        <f t="shared" si="12"/>
        <v>-</v>
      </c>
      <c r="AT13" s="972" t="str">
        <f t="shared" si="13"/>
        <v>-</v>
      </c>
      <c r="AU13" s="972" t="str">
        <f t="shared" si="14"/>
        <v>-</v>
      </c>
      <c r="AV13" s="972" t="str">
        <f t="shared" si="15"/>
        <v>-</v>
      </c>
      <c r="AW13" s="245" t="str">
        <f t="shared" si="16"/>
        <v>-</v>
      </c>
      <c r="AX13" s="973" t="str">
        <f t="shared" si="17"/>
        <v>-</v>
      </c>
    </row>
    <row r="14" spans="1:50" s="9" customFormat="1">
      <c r="B14" s="231"/>
      <c r="C14" s="1030"/>
      <c r="D14" s="1036"/>
      <c r="E14" s="1032"/>
      <c r="F14" s="1033"/>
      <c r="G14" s="1033"/>
      <c r="H14" s="1033"/>
      <c r="I14" s="1033"/>
      <c r="J14" s="1033"/>
      <c r="K14" s="1033"/>
      <c r="L14" s="1033"/>
      <c r="M14" s="1033"/>
      <c r="N14" s="1033"/>
      <c r="O14" s="1033"/>
      <c r="P14" s="1034"/>
      <c r="Q14" s="1035">
        <f t="shared" si="0"/>
        <v>0</v>
      </c>
      <c r="R14" s="220"/>
      <c r="S14" s="264"/>
      <c r="T14" s="265"/>
      <c r="U14" s="266"/>
      <c r="V14" s="266"/>
      <c r="W14" s="266"/>
      <c r="X14" s="266"/>
      <c r="Y14" s="266"/>
      <c r="Z14" s="266"/>
      <c r="AA14" s="267"/>
      <c r="AB14" s="267"/>
      <c r="AC14" s="267"/>
      <c r="AD14" s="268"/>
      <c r="AE14" s="268"/>
      <c r="AF14" s="268"/>
      <c r="AG14" s="268"/>
      <c r="AH14" s="269">
        <f t="shared" si="1"/>
        <v>0</v>
      </c>
      <c r="AJ14" s="244" t="str">
        <f t="shared" si="3"/>
        <v>-</v>
      </c>
      <c r="AK14" s="245" t="str">
        <f t="shared" si="4"/>
        <v>-</v>
      </c>
      <c r="AL14" s="245" t="str">
        <f t="shared" si="5"/>
        <v>-</v>
      </c>
      <c r="AM14" s="245" t="str">
        <f t="shared" si="6"/>
        <v>-</v>
      </c>
      <c r="AN14" s="245" t="str">
        <f t="shared" si="7"/>
        <v>-</v>
      </c>
      <c r="AO14" s="245" t="str">
        <f t="shared" si="8"/>
        <v>-</v>
      </c>
      <c r="AP14" s="245" t="str">
        <f t="shared" si="9"/>
        <v>-</v>
      </c>
      <c r="AQ14" s="245" t="str">
        <f t="shared" si="10"/>
        <v>-</v>
      </c>
      <c r="AR14" s="245" t="str">
        <f t="shared" si="11"/>
        <v>-</v>
      </c>
      <c r="AS14" s="245" t="str">
        <f t="shared" si="12"/>
        <v>-</v>
      </c>
      <c r="AT14" s="972" t="str">
        <f t="shared" si="13"/>
        <v>-</v>
      </c>
      <c r="AU14" s="972" t="str">
        <f t="shared" si="14"/>
        <v>-</v>
      </c>
      <c r="AV14" s="972" t="str">
        <f t="shared" si="15"/>
        <v>-</v>
      </c>
      <c r="AW14" s="245" t="str">
        <f t="shared" si="16"/>
        <v>-</v>
      </c>
      <c r="AX14" s="973" t="str">
        <f t="shared" si="17"/>
        <v>-</v>
      </c>
    </row>
    <row r="15" spans="1:50" s="9" customFormat="1">
      <c r="B15" s="231"/>
      <c r="C15" s="1030"/>
      <c r="D15" s="1036"/>
      <c r="E15" s="1032"/>
      <c r="F15" s="1033"/>
      <c r="G15" s="1033"/>
      <c r="H15" s="1033"/>
      <c r="I15" s="1033"/>
      <c r="J15" s="1033"/>
      <c r="K15" s="1033"/>
      <c r="L15" s="1033"/>
      <c r="M15" s="1033"/>
      <c r="N15" s="1033"/>
      <c r="O15" s="1033"/>
      <c r="P15" s="1034"/>
      <c r="Q15" s="1035">
        <f t="shared" si="0"/>
        <v>0</v>
      </c>
      <c r="R15" s="220"/>
      <c r="S15" s="264"/>
      <c r="T15" s="265"/>
      <c r="U15" s="266"/>
      <c r="V15" s="266"/>
      <c r="W15" s="266"/>
      <c r="X15" s="266"/>
      <c r="Y15" s="266"/>
      <c r="Z15" s="266"/>
      <c r="AA15" s="267"/>
      <c r="AB15" s="267"/>
      <c r="AC15" s="267"/>
      <c r="AD15" s="268"/>
      <c r="AE15" s="268"/>
      <c r="AF15" s="268"/>
      <c r="AG15" s="268"/>
      <c r="AH15" s="269">
        <f t="shared" si="1"/>
        <v>0</v>
      </c>
      <c r="AJ15" s="244" t="str">
        <f t="shared" si="3"/>
        <v>-</v>
      </c>
      <c r="AK15" s="245" t="str">
        <f t="shared" si="4"/>
        <v>-</v>
      </c>
      <c r="AL15" s="245" t="str">
        <f t="shared" si="5"/>
        <v>-</v>
      </c>
      <c r="AM15" s="245" t="str">
        <f t="shared" si="6"/>
        <v>-</v>
      </c>
      <c r="AN15" s="245" t="str">
        <f t="shared" si="7"/>
        <v>-</v>
      </c>
      <c r="AO15" s="245" t="str">
        <f t="shared" si="8"/>
        <v>-</v>
      </c>
      <c r="AP15" s="245" t="str">
        <f t="shared" si="9"/>
        <v>-</v>
      </c>
      <c r="AQ15" s="245" t="str">
        <f t="shared" si="10"/>
        <v>-</v>
      </c>
      <c r="AR15" s="245" t="str">
        <f t="shared" si="11"/>
        <v>-</v>
      </c>
      <c r="AS15" s="245" t="str">
        <f t="shared" si="12"/>
        <v>-</v>
      </c>
      <c r="AT15" s="972" t="str">
        <f t="shared" si="13"/>
        <v>-</v>
      </c>
      <c r="AU15" s="972" t="str">
        <f t="shared" si="14"/>
        <v>-</v>
      </c>
      <c r="AV15" s="972" t="str">
        <f t="shared" si="15"/>
        <v>-</v>
      </c>
      <c r="AW15" s="245" t="str">
        <f t="shared" si="16"/>
        <v>-</v>
      </c>
      <c r="AX15" s="973" t="str">
        <f t="shared" si="17"/>
        <v>-</v>
      </c>
    </row>
    <row r="16" spans="1:50" s="9" customFormat="1">
      <c r="B16" s="231"/>
      <c r="C16" s="1030"/>
      <c r="D16" s="1036"/>
      <c r="E16" s="1032"/>
      <c r="F16" s="1033"/>
      <c r="G16" s="1033"/>
      <c r="H16" s="1033"/>
      <c r="I16" s="1033"/>
      <c r="J16" s="1033"/>
      <c r="K16" s="1033"/>
      <c r="L16" s="1033"/>
      <c r="M16" s="1033"/>
      <c r="N16" s="1033"/>
      <c r="O16" s="1033"/>
      <c r="P16" s="1034"/>
      <c r="Q16" s="1035">
        <f t="shared" si="0"/>
        <v>0</v>
      </c>
      <c r="R16" s="220"/>
      <c r="S16" s="264"/>
      <c r="T16" s="265"/>
      <c r="U16" s="266"/>
      <c r="V16" s="266"/>
      <c r="W16" s="266"/>
      <c r="X16" s="266"/>
      <c r="Y16" s="266"/>
      <c r="Z16" s="266"/>
      <c r="AA16" s="267"/>
      <c r="AB16" s="267"/>
      <c r="AC16" s="267"/>
      <c r="AD16" s="268"/>
      <c r="AE16" s="268"/>
      <c r="AF16" s="268"/>
      <c r="AG16" s="268"/>
      <c r="AH16" s="269">
        <f t="shared" si="1"/>
        <v>0</v>
      </c>
      <c r="AJ16" s="244" t="str">
        <f t="shared" si="3"/>
        <v>-</v>
      </c>
      <c r="AK16" s="245" t="str">
        <f t="shared" si="4"/>
        <v>-</v>
      </c>
      <c r="AL16" s="245" t="str">
        <f t="shared" si="5"/>
        <v>-</v>
      </c>
      <c r="AM16" s="245" t="str">
        <f t="shared" si="6"/>
        <v>-</v>
      </c>
      <c r="AN16" s="245" t="str">
        <f t="shared" si="7"/>
        <v>-</v>
      </c>
      <c r="AO16" s="245" t="str">
        <f t="shared" si="8"/>
        <v>-</v>
      </c>
      <c r="AP16" s="245" t="str">
        <f t="shared" si="9"/>
        <v>-</v>
      </c>
      <c r="AQ16" s="245" t="str">
        <f t="shared" si="10"/>
        <v>-</v>
      </c>
      <c r="AR16" s="245" t="str">
        <f t="shared" si="11"/>
        <v>-</v>
      </c>
      <c r="AS16" s="245" t="str">
        <f t="shared" si="12"/>
        <v>-</v>
      </c>
      <c r="AT16" s="972" t="str">
        <f t="shared" si="13"/>
        <v>-</v>
      </c>
      <c r="AU16" s="972" t="str">
        <f t="shared" si="14"/>
        <v>-</v>
      </c>
      <c r="AV16" s="972" t="str">
        <f t="shared" si="15"/>
        <v>-</v>
      </c>
      <c r="AW16" s="245" t="str">
        <f t="shared" si="16"/>
        <v>-</v>
      </c>
      <c r="AX16" s="973" t="str">
        <f t="shared" si="17"/>
        <v>-</v>
      </c>
    </row>
    <row r="17" spans="2:54" s="9" customFormat="1">
      <c r="B17" s="231"/>
      <c r="C17" s="1030"/>
      <c r="D17" s="1036"/>
      <c r="E17" s="1032"/>
      <c r="F17" s="1033"/>
      <c r="G17" s="1033"/>
      <c r="H17" s="1033"/>
      <c r="I17" s="1033"/>
      <c r="J17" s="1033"/>
      <c r="K17" s="1033"/>
      <c r="L17" s="1033"/>
      <c r="M17" s="1033"/>
      <c r="N17" s="1033"/>
      <c r="O17" s="1033"/>
      <c r="P17" s="1034"/>
      <c r="Q17" s="1035">
        <f t="shared" si="0"/>
        <v>0</v>
      </c>
      <c r="R17" s="220"/>
      <c r="S17" s="264"/>
      <c r="T17" s="265"/>
      <c r="U17" s="266"/>
      <c r="V17" s="266"/>
      <c r="W17" s="266"/>
      <c r="X17" s="266"/>
      <c r="Y17" s="266"/>
      <c r="Z17" s="266"/>
      <c r="AA17" s="267"/>
      <c r="AB17" s="267"/>
      <c r="AC17" s="267"/>
      <c r="AD17" s="268"/>
      <c r="AE17" s="268"/>
      <c r="AF17" s="268"/>
      <c r="AG17" s="268"/>
      <c r="AH17" s="269">
        <f t="shared" si="1"/>
        <v>0</v>
      </c>
      <c r="AJ17" s="244" t="str">
        <f t="shared" si="3"/>
        <v>-</v>
      </c>
      <c r="AK17" s="245" t="str">
        <f t="shared" si="4"/>
        <v>-</v>
      </c>
      <c r="AL17" s="245" t="str">
        <f t="shared" si="5"/>
        <v>-</v>
      </c>
      <c r="AM17" s="245" t="str">
        <f t="shared" si="6"/>
        <v>-</v>
      </c>
      <c r="AN17" s="245" t="str">
        <f t="shared" si="7"/>
        <v>-</v>
      </c>
      <c r="AO17" s="245" t="str">
        <f t="shared" si="8"/>
        <v>-</v>
      </c>
      <c r="AP17" s="245" t="str">
        <f t="shared" si="9"/>
        <v>-</v>
      </c>
      <c r="AQ17" s="245" t="str">
        <f t="shared" si="10"/>
        <v>-</v>
      </c>
      <c r="AR17" s="245" t="str">
        <f t="shared" si="11"/>
        <v>-</v>
      </c>
      <c r="AS17" s="245" t="str">
        <f t="shared" si="12"/>
        <v>-</v>
      </c>
      <c r="AT17" s="972" t="str">
        <f t="shared" si="13"/>
        <v>-</v>
      </c>
      <c r="AU17" s="972" t="str">
        <f t="shared" si="14"/>
        <v>-</v>
      </c>
      <c r="AV17" s="972" t="str">
        <f t="shared" si="15"/>
        <v>-</v>
      </c>
      <c r="AW17" s="245" t="str">
        <f t="shared" si="16"/>
        <v>-</v>
      </c>
      <c r="AX17" s="973" t="str">
        <f t="shared" si="17"/>
        <v>-</v>
      </c>
    </row>
    <row r="18" spans="2:54" s="9" customFormat="1">
      <c r="B18" s="231"/>
      <c r="C18" s="1030"/>
      <c r="D18" s="1036"/>
      <c r="E18" s="1032"/>
      <c r="F18" s="1033"/>
      <c r="G18" s="1033"/>
      <c r="H18" s="1033"/>
      <c r="I18" s="1033"/>
      <c r="J18" s="1033"/>
      <c r="K18" s="1033"/>
      <c r="L18" s="1033"/>
      <c r="M18" s="1033"/>
      <c r="N18" s="1033"/>
      <c r="O18" s="1033"/>
      <c r="P18" s="1034"/>
      <c r="Q18" s="1035">
        <f t="shared" si="0"/>
        <v>0</v>
      </c>
      <c r="R18" s="220"/>
      <c r="S18" s="264"/>
      <c r="T18" s="265"/>
      <c r="U18" s="266"/>
      <c r="V18" s="266"/>
      <c r="W18" s="266"/>
      <c r="X18" s="266"/>
      <c r="Y18" s="266"/>
      <c r="Z18" s="266"/>
      <c r="AA18" s="267"/>
      <c r="AB18" s="267"/>
      <c r="AC18" s="267"/>
      <c r="AD18" s="268"/>
      <c r="AE18" s="268"/>
      <c r="AF18" s="268"/>
      <c r="AG18" s="268"/>
      <c r="AH18" s="269">
        <f t="shared" si="1"/>
        <v>0</v>
      </c>
      <c r="AJ18" s="244" t="str">
        <f t="shared" si="3"/>
        <v>-</v>
      </c>
      <c r="AK18" s="245" t="str">
        <f t="shared" si="4"/>
        <v>-</v>
      </c>
      <c r="AL18" s="245" t="str">
        <f t="shared" si="5"/>
        <v>-</v>
      </c>
      <c r="AM18" s="245" t="str">
        <f t="shared" si="6"/>
        <v>-</v>
      </c>
      <c r="AN18" s="245" t="str">
        <f t="shared" si="7"/>
        <v>-</v>
      </c>
      <c r="AO18" s="245" t="str">
        <f t="shared" si="8"/>
        <v>-</v>
      </c>
      <c r="AP18" s="245" t="str">
        <f t="shared" si="9"/>
        <v>-</v>
      </c>
      <c r="AQ18" s="245" t="str">
        <f t="shared" si="10"/>
        <v>-</v>
      </c>
      <c r="AR18" s="245" t="str">
        <f t="shared" si="11"/>
        <v>-</v>
      </c>
      <c r="AS18" s="245" t="str">
        <f t="shared" si="12"/>
        <v>-</v>
      </c>
      <c r="AT18" s="972" t="str">
        <f t="shared" si="13"/>
        <v>-</v>
      </c>
      <c r="AU18" s="972" t="str">
        <f t="shared" si="14"/>
        <v>-</v>
      </c>
      <c r="AV18" s="972" t="str">
        <f t="shared" si="15"/>
        <v>-</v>
      </c>
      <c r="AW18" s="245" t="str">
        <f t="shared" si="16"/>
        <v>-</v>
      </c>
      <c r="AX18" s="973" t="str">
        <f t="shared" si="17"/>
        <v>-</v>
      </c>
    </row>
    <row r="19" spans="2:54" s="9" customFormat="1">
      <c r="B19" s="231"/>
      <c r="C19" s="1030"/>
      <c r="D19" s="1036"/>
      <c r="E19" s="1032"/>
      <c r="F19" s="1033"/>
      <c r="G19" s="1033"/>
      <c r="H19" s="1033"/>
      <c r="I19" s="1033"/>
      <c r="J19" s="1033"/>
      <c r="K19" s="1033"/>
      <c r="L19" s="1033"/>
      <c r="M19" s="1033"/>
      <c r="N19" s="1033"/>
      <c r="O19" s="1033"/>
      <c r="P19" s="1034"/>
      <c r="Q19" s="1035">
        <f t="shared" si="0"/>
        <v>0</v>
      </c>
      <c r="R19" s="220"/>
      <c r="S19" s="264"/>
      <c r="T19" s="265"/>
      <c r="U19" s="266"/>
      <c r="V19" s="266"/>
      <c r="W19" s="266"/>
      <c r="X19" s="266"/>
      <c r="Y19" s="266"/>
      <c r="Z19" s="266"/>
      <c r="AA19" s="267"/>
      <c r="AB19" s="267"/>
      <c r="AC19" s="267"/>
      <c r="AD19" s="268"/>
      <c r="AE19" s="268"/>
      <c r="AF19" s="268"/>
      <c r="AG19" s="268"/>
      <c r="AH19" s="269">
        <f t="shared" si="1"/>
        <v>0</v>
      </c>
      <c r="AJ19" s="244" t="str">
        <f t="shared" si="3"/>
        <v>-</v>
      </c>
      <c r="AK19" s="245" t="str">
        <f t="shared" si="4"/>
        <v>-</v>
      </c>
      <c r="AL19" s="245" t="str">
        <f t="shared" si="5"/>
        <v>-</v>
      </c>
      <c r="AM19" s="245" t="str">
        <f t="shared" si="6"/>
        <v>-</v>
      </c>
      <c r="AN19" s="245" t="str">
        <f t="shared" si="7"/>
        <v>-</v>
      </c>
      <c r="AO19" s="245" t="str">
        <f t="shared" si="8"/>
        <v>-</v>
      </c>
      <c r="AP19" s="245" t="str">
        <f t="shared" si="9"/>
        <v>-</v>
      </c>
      <c r="AQ19" s="245" t="str">
        <f t="shared" si="10"/>
        <v>-</v>
      </c>
      <c r="AR19" s="245" t="str">
        <f t="shared" si="11"/>
        <v>-</v>
      </c>
      <c r="AS19" s="245" t="str">
        <f t="shared" si="12"/>
        <v>-</v>
      </c>
      <c r="AT19" s="972" t="str">
        <f t="shared" si="13"/>
        <v>-</v>
      </c>
      <c r="AU19" s="972" t="str">
        <f t="shared" si="14"/>
        <v>-</v>
      </c>
      <c r="AV19" s="972" t="str">
        <f t="shared" si="15"/>
        <v>-</v>
      </c>
      <c r="AW19" s="245" t="str">
        <f t="shared" si="16"/>
        <v>-</v>
      </c>
      <c r="AX19" s="973" t="str">
        <f t="shared" si="17"/>
        <v>-</v>
      </c>
    </row>
    <row r="20" spans="2:54" s="9" customFormat="1">
      <c r="B20" s="231"/>
      <c r="C20" s="1030"/>
      <c r="D20" s="1036"/>
      <c r="E20" s="1032"/>
      <c r="F20" s="1033"/>
      <c r="G20" s="1033"/>
      <c r="H20" s="1033"/>
      <c r="I20" s="1033"/>
      <c r="J20" s="1033"/>
      <c r="K20" s="1033"/>
      <c r="L20" s="1033"/>
      <c r="M20" s="1033"/>
      <c r="N20" s="1033"/>
      <c r="O20" s="1033"/>
      <c r="P20" s="1034"/>
      <c r="Q20" s="1035">
        <f t="shared" si="0"/>
        <v>0</v>
      </c>
      <c r="R20" s="220"/>
      <c r="S20" s="264"/>
      <c r="T20" s="265"/>
      <c r="U20" s="266"/>
      <c r="V20" s="266"/>
      <c r="W20" s="266"/>
      <c r="X20" s="266"/>
      <c r="Y20" s="266"/>
      <c r="Z20" s="266"/>
      <c r="AA20" s="267"/>
      <c r="AB20" s="267"/>
      <c r="AC20" s="267"/>
      <c r="AD20" s="268"/>
      <c r="AE20" s="268"/>
      <c r="AF20" s="268"/>
      <c r="AG20" s="268"/>
      <c r="AH20" s="269">
        <f t="shared" si="1"/>
        <v>0</v>
      </c>
      <c r="AJ20" s="244" t="str">
        <f t="shared" si="3"/>
        <v>-</v>
      </c>
      <c r="AK20" s="245" t="str">
        <f t="shared" si="4"/>
        <v>-</v>
      </c>
      <c r="AL20" s="245" t="str">
        <f t="shared" si="5"/>
        <v>-</v>
      </c>
      <c r="AM20" s="245" t="str">
        <f t="shared" si="6"/>
        <v>-</v>
      </c>
      <c r="AN20" s="245" t="str">
        <f t="shared" si="7"/>
        <v>-</v>
      </c>
      <c r="AO20" s="245" t="str">
        <f t="shared" si="8"/>
        <v>-</v>
      </c>
      <c r="AP20" s="245" t="str">
        <f t="shared" si="9"/>
        <v>-</v>
      </c>
      <c r="AQ20" s="245" t="str">
        <f t="shared" si="10"/>
        <v>-</v>
      </c>
      <c r="AR20" s="245" t="str">
        <f t="shared" si="11"/>
        <v>-</v>
      </c>
      <c r="AS20" s="245" t="str">
        <f t="shared" si="12"/>
        <v>-</v>
      </c>
      <c r="AT20" s="972" t="str">
        <f t="shared" si="13"/>
        <v>-</v>
      </c>
      <c r="AU20" s="972" t="str">
        <f t="shared" si="14"/>
        <v>-</v>
      </c>
      <c r="AV20" s="972" t="str">
        <f t="shared" si="15"/>
        <v>-</v>
      </c>
      <c r="AW20" s="245" t="str">
        <f t="shared" si="16"/>
        <v>-</v>
      </c>
      <c r="AX20" s="973" t="str">
        <f t="shared" si="17"/>
        <v>-</v>
      </c>
    </row>
    <row r="21" spans="2:54" s="9" customFormat="1">
      <c r="B21" s="231"/>
      <c r="C21" s="1030"/>
      <c r="D21" s="1036"/>
      <c r="E21" s="1032"/>
      <c r="F21" s="1033"/>
      <c r="G21" s="1033"/>
      <c r="H21" s="1033"/>
      <c r="I21" s="1033"/>
      <c r="J21" s="1033"/>
      <c r="K21" s="1033"/>
      <c r="L21" s="1033"/>
      <c r="M21" s="1033"/>
      <c r="N21" s="1033"/>
      <c r="O21" s="1033"/>
      <c r="P21" s="1034"/>
      <c r="Q21" s="1035">
        <f t="shared" si="0"/>
        <v>0</v>
      </c>
      <c r="R21" s="220"/>
      <c r="S21" s="264"/>
      <c r="T21" s="265"/>
      <c r="U21" s="266"/>
      <c r="V21" s="266"/>
      <c r="W21" s="266"/>
      <c r="X21" s="266"/>
      <c r="Y21" s="266"/>
      <c r="Z21" s="266"/>
      <c r="AA21" s="267"/>
      <c r="AB21" s="267"/>
      <c r="AC21" s="267"/>
      <c r="AD21" s="268"/>
      <c r="AE21" s="268"/>
      <c r="AF21" s="268"/>
      <c r="AG21" s="268"/>
      <c r="AH21" s="269">
        <f t="shared" si="1"/>
        <v>0</v>
      </c>
      <c r="AJ21" s="244" t="str">
        <f t="shared" si="3"/>
        <v>-</v>
      </c>
      <c r="AK21" s="245" t="str">
        <f t="shared" si="4"/>
        <v>-</v>
      </c>
      <c r="AL21" s="245" t="str">
        <f t="shared" si="5"/>
        <v>-</v>
      </c>
      <c r="AM21" s="245" t="str">
        <f t="shared" si="6"/>
        <v>-</v>
      </c>
      <c r="AN21" s="245" t="str">
        <f t="shared" si="7"/>
        <v>-</v>
      </c>
      <c r="AO21" s="245" t="str">
        <f t="shared" si="8"/>
        <v>-</v>
      </c>
      <c r="AP21" s="245" t="str">
        <f t="shared" si="9"/>
        <v>-</v>
      </c>
      <c r="AQ21" s="245" t="str">
        <f t="shared" si="10"/>
        <v>-</v>
      </c>
      <c r="AR21" s="245" t="str">
        <f t="shared" si="11"/>
        <v>-</v>
      </c>
      <c r="AS21" s="245" t="str">
        <f t="shared" si="12"/>
        <v>-</v>
      </c>
      <c r="AT21" s="972" t="str">
        <f t="shared" si="13"/>
        <v>-</v>
      </c>
      <c r="AU21" s="972" t="str">
        <f t="shared" si="14"/>
        <v>-</v>
      </c>
      <c r="AV21" s="972" t="str">
        <f t="shared" si="15"/>
        <v>-</v>
      </c>
      <c r="AW21" s="245" t="str">
        <f t="shared" si="16"/>
        <v>-</v>
      </c>
      <c r="AX21" s="973" t="str">
        <f t="shared" si="17"/>
        <v>-</v>
      </c>
    </row>
    <row r="22" spans="2:54" s="9" customFormat="1">
      <c r="B22" s="231"/>
      <c r="C22" s="1030"/>
      <c r="D22" s="1036"/>
      <c r="E22" s="1032"/>
      <c r="F22" s="1033"/>
      <c r="G22" s="1033"/>
      <c r="H22" s="1033"/>
      <c r="I22" s="1033"/>
      <c r="J22" s="1033"/>
      <c r="K22" s="1033"/>
      <c r="L22" s="1033"/>
      <c r="M22" s="1033"/>
      <c r="N22" s="1033"/>
      <c r="O22" s="1033"/>
      <c r="P22" s="1034"/>
      <c r="Q22" s="1035">
        <f t="shared" si="0"/>
        <v>0</v>
      </c>
      <c r="R22" s="220"/>
      <c r="S22" s="264"/>
      <c r="T22" s="265"/>
      <c r="U22" s="266"/>
      <c r="V22" s="266"/>
      <c r="W22" s="266"/>
      <c r="X22" s="266"/>
      <c r="Y22" s="266"/>
      <c r="Z22" s="266"/>
      <c r="AA22" s="267"/>
      <c r="AB22" s="267"/>
      <c r="AC22" s="267"/>
      <c r="AD22" s="268"/>
      <c r="AE22" s="268"/>
      <c r="AF22" s="268"/>
      <c r="AG22" s="268"/>
      <c r="AH22" s="269">
        <f t="shared" si="1"/>
        <v>0</v>
      </c>
      <c r="AJ22" s="244" t="str">
        <f t="shared" si="3"/>
        <v>-</v>
      </c>
      <c r="AK22" s="245" t="str">
        <f t="shared" si="4"/>
        <v>-</v>
      </c>
      <c r="AL22" s="245" t="str">
        <f t="shared" si="5"/>
        <v>-</v>
      </c>
      <c r="AM22" s="245" t="str">
        <f t="shared" si="6"/>
        <v>-</v>
      </c>
      <c r="AN22" s="245" t="str">
        <f t="shared" si="7"/>
        <v>-</v>
      </c>
      <c r="AO22" s="245" t="str">
        <f t="shared" si="8"/>
        <v>-</v>
      </c>
      <c r="AP22" s="245" t="str">
        <f t="shared" si="9"/>
        <v>-</v>
      </c>
      <c r="AQ22" s="245" t="str">
        <f t="shared" si="10"/>
        <v>-</v>
      </c>
      <c r="AR22" s="245" t="str">
        <f t="shared" si="11"/>
        <v>-</v>
      </c>
      <c r="AS22" s="245" t="str">
        <f t="shared" si="12"/>
        <v>-</v>
      </c>
      <c r="AT22" s="972" t="str">
        <f t="shared" si="13"/>
        <v>-</v>
      </c>
      <c r="AU22" s="972" t="str">
        <f t="shared" si="14"/>
        <v>-</v>
      </c>
      <c r="AV22" s="972" t="str">
        <f t="shared" si="15"/>
        <v>-</v>
      </c>
      <c r="AW22" s="245" t="str">
        <f t="shared" si="16"/>
        <v>-</v>
      </c>
      <c r="AX22" s="973" t="str">
        <f t="shared" si="17"/>
        <v>-</v>
      </c>
    </row>
    <row r="23" spans="2:54" s="9" customFormat="1">
      <c r="B23" s="231"/>
      <c r="C23" s="1030"/>
      <c r="D23" s="1036"/>
      <c r="E23" s="1032"/>
      <c r="F23" s="1033"/>
      <c r="G23" s="1033"/>
      <c r="H23" s="1033"/>
      <c r="I23" s="1033"/>
      <c r="J23" s="1033"/>
      <c r="K23" s="1033"/>
      <c r="L23" s="1033"/>
      <c r="M23" s="1033"/>
      <c r="N23" s="1033"/>
      <c r="O23" s="1033"/>
      <c r="P23" s="1034"/>
      <c r="Q23" s="1035">
        <f t="shared" si="0"/>
        <v>0</v>
      </c>
      <c r="R23" s="220"/>
      <c r="S23" s="264"/>
      <c r="T23" s="265"/>
      <c r="U23" s="266"/>
      <c r="V23" s="266"/>
      <c r="W23" s="266"/>
      <c r="X23" s="266"/>
      <c r="Y23" s="266"/>
      <c r="Z23" s="266"/>
      <c r="AA23" s="267"/>
      <c r="AB23" s="267"/>
      <c r="AC23" s="267"/>
      <c r="AD23" s="268"/>
      <c r="AE23" s="268"/>
      <c r="AF23" s="268"/>
      <c r="AG23" s="268"/>
      <c r="AH23" s="269">
        <f t="shared" si="1"/>
        <v>0</v>
      </c>
      <c r="AJ23" s="244" t="str">
        <f t="shared" si="3"/>
        <v>-</v>
      </c>
      <c r="AK23" s="245" t="str">
        <f t="shared" si="4"/>
        <v>-</v>
      </c>
      <c r="AL23" s="245" t="str">
        <f t="shared" si="5"/>
        <v>-</v>
      </c>
      <c r="AM23" s="245" t="str">
        <f t="shared" si="6"/>
        <v>-</v>
      </c>
      <c r="AN23" s="245" t="str">
        <f t="shared" si="7"/>
        <v>-</v>
      </c>
      <c r="AO23" s="245" t="str">
        <f t="shared" si="8"/>
        <v>-</v>
      </c>
      <c r="AP23" s="245" t="str">
        <f t="shared" si="9"/>
        <v>-</v>
      </c>
      <c r="AQ23" s="245" t="str">
        <f t="shared" si="10"/>
        <v>-</v>
      </c>
      <c r="AR23" s="245" t="str">
        <f t="shared" si="11"/>
        <v>-</v>
      </c>
      <c r="AS23" s="245" t="str">
        <f t="shared" si="12"/>
        <v>-</v>
      </c>
      <c r="AT23" s="972" t="str">
        <f t="shared" si="13"/>
        <v>-</v>
      </c>
      <c r="AU23" s="972" t="str">
        <f t="shared" si="14"/>
        <v>-</v>
      </c>
      <c r="AV23" s="972" t="str">
        <f t="shared" si="15"/>
        <v>-</v>
      </c>
      <c r="AW23" s="245" t="str">
        <f t="shared" si="16"/>
        <v>-</v>
      </c>
      <c r="AX23" s="973" t="str">
        <f t="shared" si="17"/>
        <v>-</v>
      </c>
    </row>
    <row r="24" spans="2:54" s="9" customFormat="1">
      <c r="B24" s="231"/>
      <c r="C24" s="1030"/>
      <c r="D24" s="1036"/>
      <c r="E24" s="1032"/>
      <c r="F24" s="1033"/>
      <c r="G24" s="1033"/>
      <c r="H24" s="1033"/>
      <c r="I24" s="1033"/>
      <c r="J24" s="1033"/>
      <c r="K24" s="1033"/>
      <c r="L24" s="1033"/>
      <c r="M24" s="1033"/>
      <c r="N24" s="1033"/>
      <c r="O24" s="1033"/>
      <c r="P24" s="1034"/>
      <c r="Q24" s="1035">
        <f t="shared" si="0"/>
        <v>0</v>
      </c>
      <c r="R24" s="220"/>
      <c r="S24" s="264"/>
      <c r="T24" s="265"/>
      <c r="U24" s="266"/>
      <c r="V24" s="266"/>
      <c r="W24" s="266"/>
      <c r="X24" s="266"/>
      <c r="Y24" s="266"/>
      <c r="Z24" s="266"/>
      <c r="AA24" s="267"/>
      <c r="AB24" s="267"/>
      <c r="AC24" s="267"/>
      <c r="AD24" s="268"/>
      <c r="AE24" s="268"/>
      <c r="AF24" s="268"/>
      <c r="AG24" s="268"/>
      <c r="AH24" s="269">
        <f t="shared" si="1"/>
        <v>0</v>
      </c>
      <c r="AJ24" s="244" t="str">
        <f t="shared" si="3"/>
        <v>-</v>
      </c>
      <c r="AK24" s="245" t="str">
        <f t="shared" si="4"/>
        <v>-</v>
      </c>
      <c r="AL24" s="245" t="str">
        <f t="shared" si="5"/>
        <v>-</v>
      </c>
      <c r="AM24" s="245" t="str">
        <f t="shared" si="6"/>
        <v>-</v>
      </c>
      <c r="AN24" s="245" t="str">
        <f t="shared" si="7"/>
        <v>-</v>
      </c>
      <c r="AO24" s="245" t="str">
        <f t="shared" si="8"/>
        <v>-</v>
      </c>
      <c r="AP24" s="245" t="str">
        <f t="shared" si="9"/>
        <v>-</v>
      </c>
      <c r="AQ24" s="245" t="str">
        <f t="shared" si="10"/>
        <v>-</v>
      </c>
      <c r="AR24" s="245" t="str">
        <f t="shared" si="11"/>
        <v>-</v>
      </c>
      <c r="AS24" s="245" t="str">
        <f t="shared" si="12"/>
        <v>-</v>
      </c>
      <c r="AT24" s="972" t="str">
        <f t="shared" si="13"/>
        <v>-</v>
      </c>
      <c r="AU24" s="972" t="str">
        <f t="shared" si="14"/>
        <v>-</v>
      </c>
      <c r="AV24" s="972" t="str">
        <f t="shared" si="15"/>
        <v>-</v>
      </c>
      <c r="AW24" s="245" t="str">
        <f t="shared" si="16"/>
        <v>-</v>
      </c>
      <c r="AX24" s="973" t="str">
        <f t="shared" si="17"/>
        <v>-</v>
      </c>
    </row>
    <row r="25" spans="2:54" s="9" customFormat="1">
      <c r="B25" s="231"/>
      <c r="C25" s="1037"/>
      <c r="D25" s="36"/>
      <c r="E25" s="1038"/>
      <c r="F25" s="35"/>
      <c r="G25" s="35"/>
      <c r="H25" s="35"/>
      <c r="I25" s="35"/>
      <c r="J25" s="35"/>
      <c r="K25" s="35"/>
      <c r="L25" s="35"/>
      <c r="M25" s="35"/>
      <c r="N25" s="35"/>
      <c r="O25" s="35"/>
      <c r="P25" s="1039"/>
      <c r="Q25" s="1035">
        <f t="shared" si="0"/>
        <v>0</v>
      </c>
      <c r="R25" s="220"/>
      <c r="S25" s="270"/>
      <c r="T25" s="271"/>
      <c r="U25" s="267"/>
      <c r="V25" s="267"/>
      <c r="W25" s="267"/>
      <c r="X25" s="267"/>
      <c r="Y25" s="267"/>
      <c r="Z25" s="267"/>
      <c r="AA25" s="267"/>
      <c r="AB25" s="267"/>
      <c r="AC25" s="267"/>
      <c r="AD25" s="268"/>
      <c r="AE25" s="268"/>
      <c r="AF25" s="268"/>
      <c r="AG25" s="268"/>
      <c r="AH25" s="269">
        <f t="shared" si="1"/>
        <v>0</v>
      </c>
      <c r="AJ25" s="244" t="str">
        <f t="shared" si="3"/>
        <v>-</v>
      </c>
      <c r="AK25" s="245" t="str">
        <f t="shared" si="4"/>
        <v>-</v>
      </c>
      <c r="AL25" s="245" t="str">
        <f t="shared" si="5"/>
        <v>-</v>
      </c>
      <c r="AM25" s="245" t="str">
        <f t="shared" si="6"/>
        <v>-</v>
      </c>
      <c r="AN25" s="245" t="str">
        <f t="shared" si="7"/>
        <v>-</v>
      </c>
      <c r="AO25" s="245" t="str">
        <f t="shared" si="8"/>
        <v>-</v>
      </c>
      <c r="AP25" s="245" t="str">
        <f t="shared" si="9"/>
        <v>-</v>
      </c>
      <c r="AQ25" s="245" t="str">
        <f t="shared" si="10"/>
        <v>-</v>
      </c>
      <c r="AR25" s="245" t="str">
        <f t="shared" si="11"/>
        <v>-</v>
      </c>
      <c r="AS25" s="245" t="str">
        <f t="shared" si="12"/>
        <v>-</v>
      </c>
      <c r="AT25" s="972" t="str">
        <f t="shared" si="13"/>
        <v>-</v>
      </c>
      <c r="AU25" s="972" t="str">
        <f t="shared" si="14"/>
        <v>-</v>
      </c>
      <c r="AV25" s="972" t="str">
        <f t="shared" si="15"/>
        <v>-</v>
      </c>
      <c r="AW25" s="245" t="str">
        <f t="shared" si="16"/>
        <v>-</v>
      </c>
      <c r="AX25" s="973" t="str">
        <f t="shared" si="17"/>
        <v>-</v>
      </c>
    </row>
    <row r="26" spans="2:54" s="9" customFormat="1">
      <c r="B26" s="231"/>
      <c r="C26" s="1037"/>
      <c r="D26" s="36"/>
      <c r="E26" s="1038"/>
      <c r="F26" s="35"/>
      <c r="G26" s="35"/>
      <c r="H26" s="35"/>
      <c r="I26" s="35"/>
      <c r="J26" s="35"/>
      <c r="K26" s="35"/>
      <c r="L26" s="35"/>
      <c r="M26" s="35"/>
      <c r="N26" s="35"/>
      <c r="O26" s="35"/>
      <c r="P26" s="1039"/>
      <c r="Q26" s="1035">
        <f t="shared" si="0"/>
        <v>0</v>
      </c>
      <c r="R26" s="220"/>
      <c r="S26" s="270"/>
      <c r="T26" s="271"/>
      <c r="U26" s="267"/>
      <c r="V26" s="267"/>
      <c r="W26" s="267"/>
      <c r="X26" s="267"/>
      <c r="Y26" s="267"/>
      <c r="Z26" s="267"/>
      <c r="AA26" s="267"/>
      <c r="AB26" s="267"/>
      <c r="AC26" s="267"/>
      <c r="AD26" s="268"/>
      <c r="AE26" s="268"/>
      <c r="AF26" s="268"/>
      <c r="AG26" s="268"/>
      <c r="AH26" s="269">
        <f t="shared" si="1"/>
        <v>0</v>
      </c>
      <c r="AJ26" s="244" t="str">
        <f t="shared" si="3"/>
        <v>-</v>
      </c>
      <c r="AK26" s="245" t="str">
        <f t="shared" si="4"/>
        <v>-</v>
      </c>
      <c r="AL26" s="245" t="str">
        <f t="shared" si="5"/>
        <v>-</v>
      </c>
      <c r="AM26" s="245" t="str">
        <f t="shared" si="6"/>
        <v>-</v>
      </c>
      <c r="AN26" s="245" t="str">
        <f t="shared" si="7"/>
        <v>-</v>
      </c>
      <c r="AO26" s="245" t="str">
        <f t="shared" si="8"/>
        <v>-</v>
      </c>
      <c r="AP26" s="245" t="str">
        <f t="shared" si="9"/>
        <v>-</v>
      </c>
      <c r="AQ26" s="245" t="str">
        <f t="shared" si="10"/>
        <v>-</v>
      </c>
      <c r="AR26" s="245" t="str">
        <f t="shared" si="11"/>
        <v>-</v>
      </c>
      <c r="AS26" s="245" t="str">
        <f t="shared" si="12"/>
        <v>-</v>
      </c>
      <c r="AT26" s="972" t="str">
        <f t="shared" si="13"/>
        <v>-</v>
      </c>
      <c r="AU26" s="972" t="str">
        <f t="shared" si="14"/>
        <v>-</v>
      </c>
      <c r="AV26" s="972" t="str">
        <f t="shared" si="15"/>
        <v>-</v>
      </c>
      <c r="AW26" s="245" t="str">
        <f t="shared" si="16"/>
        <v>-</v>
      </c>
      <c r="AX26" s="973" t="str">
        <f t="shared" si="17"/>
        <v>-</v>
      </c>
    </row>
    <row r="27" spans="2:54" s="9" customFormat="1">
      <c r="B27" s="231"/>
      <c r="C27" s="1037"/>
      <c r="D27" s="36"/>
      <c r="E27" s="1038"/>
      <c r="F27" s="35"/>
      <c r="G27" s="35"/>
      <c r="H27" s="35"/>
      <c r="I27" s="35"/>
      <c r="J27" s="35"/>
      <c r="K27" s="35"/>
      <c r="L27" s="35"/>
      <c r="M27" s="35"/>
      <c r="N27" s="35"/>
      <c r="O27" s="35"/>
      <c r="P27" s="1039"/>
      <c r="Q27" s="1035">
        <f t="shared" si="0"/>
        <v>0</v>
      </c>
      <c r="R27" s="220"/>
      <c r="S27" s="270"/>
      <c r="T27" s="271"/>
      <c r="U27" s="267"/>
      <c r="V27" s="267"/>
      <c r="W27" s="267"/>
      <c r="X27" s="267"/>
      <c r="Y27" s="267"/>
      <c r="Z27" s="267"/>
      <c r="AA27" s="267"/>
      <c r="AB27" s="267"/>
      <c r="AC27" s="267"/>
      <c r="AD27" s="268"/>
      <c r="AE27" s="268"/>
      <c r="AF27" s="268"/>
      <c r="AG27" s="268"/>
      <c r="AH27" s="269">
        <f t="shared" si="1"/>
        <v>0</v>
      </c>
      <c r="AJ27" s="244" t="str">
        <f t="shared" si="3"/>
        <v>-</v>
      </c>
      <c r="AK27" s="245" t="str">
        <f t="shared" si="4"/>
        <v>-</v>
      </c>
      <c r="AL27" s="245" t="str">
        <f t="shared" si="5"/>
        <v>-</v>
      </c>
      <c r="AM27" s="245" t="str">
        <f t="shared" si="6"/>
        <v>-</v>
      </c>
      <c r="AN27" s="245" t="str">
        <f t="shared" si="7"/>
        <v>-</v>
      </c>
      <c r="AO27" s="245" t="str">
        <f t="shared" si="8"/>
        <v>-</v>
      </c>
      <c r="AP27" s="245" t="str">
        <f t="shared" si="9"/>
        <v>-</v>
      </c>
      <c r="AQ27" s="245" t="str">
        <f t="shared" si="10"/>
        <v>-</v>
      </c>
      <c r="AR27" s="245" t="str">
        <f t="shared" si="11"/>
        <v>-</v>
      </c>
      <c r="AS27" s="245" t="str">
        <f t="shared" si="12"/>
        <v>-</v>
      </c>
      <c r="AT27" s="972" t="str">
        <f t="shared" si="13"/>
        <v>-</v>
      </c>
      <c r="AU27" s="972" t="str">
        <f t="shared" si="14"/>
        <v>-</v>
      </c>
      <c r="AV27" s="972" t="str">
        <f t="shared" si="15"/>
        <v>-</v>
      </c>
      <c r="AW27" s="245" t="str">
        <f t="shared" si="16"/>
        <v>-</v>
      </c>
      <c r="AX27" s="973" t="str">
        <f t="shared" si="17"/>
        <v>-</v>
      </c>
    </row>
    <row r="28" spans="2:54" s="9" customFormat="1">
      <c r="B28" s="231"/>
      <c r="C28" s="1037"/>
      <c r="D28" s="36"/>
      <c r="E28" s="1038"/>
      <c r="F28" s="35"/>
      <c r="G28" s="35"/>
      <c r="H28" s="35"/>
      <c r="I28" s="35"/>
      <c r="J28" s="35"/>
      <c r="K28" s="35"/>
      <c r="L28" s="35"/>
      <c r="M28" s="35"/>
      <c r="N28" s="35"/>
      <c r="O28" s="35"/>
      <c r="P28" s="1039"/>
      <c r="Q28" s="1035">
        <f t="shared" si="0"/>
        <v>0</v>
      </c>
      <c r="R28" s="220"/>
      <c r="S28" s="270"/>
      <c r="T28" s="271"/>
      <c r="U28" s="267"/>
      <c r="V28" s="267"/>
      <c r="W28" s="267"/>
      <c r="X28" s="267"/>
      <c r="Y28" s="267"/>
      <c r="Z28" s="267"/>
      <c r="AA28" s="267"/>
      <c r="AB28" s="267"/>
      <c r="AC28" s="267"/>
      <c r="AD28" s="268"/>
      <c r="AE28" s="268"/>
      <c r="AF28" s="268"/>
      <c r="AG28" s="268"/>
      <c r="AH28" s="269">
        <f t="shared" si="1"/>
        <v>0</v>
      </c>
      <c r="AJ28" s="244" t="str">
        <f t="shared" si="3"/>
        <v>-</v>
      </c>
      <c r="AK28" s="245" t="str">
        <f t="shared" si="4"/>
        <v>-</v>
      </c>
      <c r="AL28" s="245" t="str">
        <f t="shared" si="5"/>
        <v>-</v>
      </c>
      <c r="AM28" s="245" t="str">
        <f t="shared" si="6"/>
        <v>-</v>
      </c>
      <c r="AN28" s="245" t="str">
        <f t="shared" si="7"/>
        <v>-</v>
      </c>
      <c r="AO28" s="245" t="str">
        <f t="shared" si="8"/>
        <v>-</v>
      </c>
      <c r="AP28" s="245" t="str">
        <f t="shared" si="9"/>
        <v>-</v>
      </c>
      <c r="AQ28" s="245" t="str">
        <f t="shared" si="10"/>
        <v>-</v>
      </c>
      <c r="AR28" s="245" t="str">
        <f t="shared" si="11"/>
        <v>-</v>
      </c>
      <c r="AS28" s="245" t="str">
        <f t="shared" si="12"/>
        <v>-</v>
      </c>
      <c r="AT28" s="972" t="str">
        <f t="shared" si="13"/>
        <v>-</v>
      </c>
      <c r="AU28" s="972" t="str">
        <f t="shared" si="14"/>
        <v>-</v>
      </c>
      <c r="AV28" s="972" t="str">
        <f t="shared" si="15"/>
        <v>-</v>
      </c>
      <c r="AW28" s="245" t="str">
        <f t="shared" si="16"/>
        <v>-</v>
      </c>
      <c r="AX28" s="973" t="str">
        <f t="shared" si="17"/>
        <v>-</v>
      </c>
    </row>
    <row r="29" spans="2:54" s="9" customFormat="1" ht="15.75" thickBot="1">
      <c r="B29" s="234"/>
      <c r="C29" s="1040"/>
      <c r="D29" s="281"/>
      <c r="E29" s="1041"/>
      <c r="F29" s="280"/>
      <c r="G29" s="280"/>
      <c r="H29" s="280"/>
      <c r="I29" s="280"/>
      <c r="J29" s="280"/>
      <c r="K29" s="1042"/>
      <c r="L29" s="1042"/>
      <c r="M29" s="1042"/>
      <c r="N29" s="1042"/>
      <c r="O29" s="1042"/>
      <c r="P29" s="1043"/>
      <c r="Q29" s="1044">
        <f t="shared" si="0"/>
        <v>0</v>
      </c>
      <c r="R29" s="220"/>
      <c r="S29" s="272"/>
      <c r="T29" s="273"/>
      <c r="U29" s="274"/>
      <c r="V29" s="274"/>
      <c r="W29" s="274"/>
      <c r="X29" s="274"/>
      <c r="Y29" s="274"/>
      <c r="Z29" s="274"/>
      <c r="AA29" s="274"/>
      <c r="AB29" s="274"/>
      <c r="AC29" s="274"/>
      <c r="AD29" s="275"/>
      <c r="AE29" s="275"/>
      <c r="AF29" s="275"/>
      <c r="AG29" s="275"/>
      <c r="AH29" s="276">
        <f t="shared" si="1"/>
        <v>0</v>
      </c>
      <c r="AJ29" s="247" t="str">
        <f t="shared" si="3"/>
        <v>-</v>
      </c>
      <c r="AK29" s="248" t="str">
        <f t="shared" si="4"/>
        <v>-</v>
      </c>
      <c r="AL29" s="248" t="str">
        <f t="shared" si="5"/>
        <v>-</v>
      </c>
      <c r="AM29" s="248" t="str">
        <f t="shared" si="6"/>
        <v>-</v>
      </c>
      <c r="AN29" s="248" t="str">
        <f t="shared" si="7"/>
        <v>-</v>
      </c>
      <c r="AO29" s="248" t="str">
        <f t="shared" si="8"/>
        <v>-</v>
      </c>
      <c r="AP29" s="248" t="str">
        <f t="shared" si="9"/>
        <v>-</v>
      </c>
      <c r="AQ29" s="248" t="str">
        <f t="shared" si="10"/>
        <v>-</v>
      </c>
      <c r="AR29" s="248" t="str">
        <f t="shared" si="11"/>
        <v>-</v>
      </c>
      <c r="AS29" s="248" t="str">
        <f t="shared" si="12"/>
        <v>-</v>
      </c>
      <c r="AT29" s="974" t="str">
        <f t="shared" si="13"/>
        <v>-</v>
      </c>
      <c r="AU29" s="974" t="str">
        <f t="shared" si="14"/>
        <v>-</v>
      </c>
      <c r="AV29" s="974" t="str">
        <f t="shared" si="15"/>
        <v>-</v>
      </c>
      <c r="AW29" s="248" t="str">
        <f t="shared" si="16"/>
        <v>-</v>
      </c>
      <c r="AX29" s="975" t="str">
        <f t="shared" si="17"/>
        <v>-</v>
      </c>
    </row>
    <row r="30" spans="2:54" ht="16.5" thickBot="1">
      <c r="B30" s="5"/>
      <c r="C30" s="1045">
        <f>SUM(C10:C29)</f>
        <v>0</v>
      </c>
      <c r="D30" s="1046">
        <f t="shared" ref="D30:P30" si="18">SUM(D10:D29)</f>
        <v>0</v>
      </c>
      <c r="E30" s="1047">
        <f>SUM(E10:E29)</f>
        <v>0</v>
      </c>
      <c r="F30" s="1046">
        <f>SUM(F10:F29)</f>
        <v>0</v>
      </c>
      <c r="G30" s="1046">
        <f t="shared" si="18"/>
        <v>0</v>
      </c>
      <c r="H30" s="1046">
        <f t="shared" si="18"/>
        <v>0</v>
      </c>
      <c r="I30" s="1046">
        <f t="shared" si="18"/>
        <v>0</v>
      </c>
      <c r="J30" s="1046">
        <f t="shared" si="18"/>
        <v>0</v>
      </c>
      <c r="K30" s="1048">
        <f t="shared" si="18"/>
        <v>0</v>
      </c>
      <c r="L30" s="1046">
        <f t="shared" si="18"/>
        <v>0</v>
      </c>
      <c r="M30" s="1046">
        <f t="shared" si="18"/>
        <v>0</v>
      </c>
      <c r="N30" s="1046">
        <f t="shared" si="18"/>
        <v>0</v>
      </c>
      <c r="O30" s="1046">
        <f t="shared" si="18"/>
        <v>0</v>
      </c>
      <c r="P30" s="1049">
        <f t="shared" si="18"/>
        <v>0</v>
      </c>
      <c r="Q30" s="1050">
        <f>SUM(Q10:Q29)-SUM(C30:P30)</f>
        <v>0</v>
      </c>
      <c r="R30" s="4"/>
      <c r="S30" s="5"/>
      <c r="T30" s="5"/>
      <c r="U30" s="5"/>
      <c r="V30" s="5"/>
      <c r="W30" s="5"/>
      <c r="X30" s="5"/>
      <c r="Y30" s="5"/>
      <c r="Z30" s="5"/>
      <c r="AA30" s="5"/>
      <c r="AB30" s="5"/>
      <c r="AC30" s="5"/>
      <c r="AD30" s="5"/>
      <c r="AE30" s="5"/>
      <c r="AF30" s="5"/>
      <c r="AG30" s="5"/>
      <c r="AH30" s="32"/>
      <c r="AJ30" s="1051">
        <f>SUM(AJ10:AJ29)</f>
        <v>0</v>
      </c>
      <c r="AK30" s="1052">
        <f t="shared" ref="AK30:AX30" si="19">SUM(AK10:AK29)</f>
        <v>0</v>
      </c>
      <c r="AL30" s="1052">
        <f t="shared" si="19"/>
        <v>0</v>
      </c>
      <c r="AM30" s="1052">
        <f t="shared" si="19"/>
        <v>0</v>
      </c>
      <c r="AN30" s="1052">
        <f t="shared" si="19"/>
        <v>0</v>
      </c>
      <c r="AO30" s="1052">
        <f t="shared" si="19"/>
        <v>0</v>
      </c>
      <c r="AP30" s="1052">
        <f t="shared" si="19"/>
        <v>0</v>
      </c>
      <c r="AQ30" s="1052">
        <f t="shared" si="19"/>
        <v>0</v>
      </c>
      <c r="AR30" s="1052">
        <f t="shared" si="19"/>
        <v>0</v>
      </c>
      <c r="AS30" s="1053">
        <f t="shared" si="19"/>
        <v>0</v>
      </c>
      <c r="AT30" s="1052">
        <f>SUM(AT10:AT29)</f>
        <v>0</v>
      </c>
      <c r="AU30" s="1052">
        <f>SUM(AU10:AU29)</f>
        <v>0</v>
      </c>
      <c r="AV30" s="1052">
        <f t="shared" si="19"/>
        <v>0</v>
      </c>
      <c r="AW30" s="1052">
        <f t="shared" si="19"/>
        <v>0</v>
      </c>
      <c r="AX30" s="1054">
        <f t="shared" si="19"/>
        <v>0</v>
      </c>
      <c r="AY30" s="9"/>
      <c r="AZ30" s="9"/>
      <c r="BA30" s="9"/>
      <c r="BB30" s="9"/>
    </row>
    <row r="31" spans="2:54" ht="16.5" customHeight="1" thickTop="1">
      <c r="B31" s="5"/>
      <c r="C31" s="5"/>
      <c r="D31" s="5"/>
      <c r="E31" s="5"/>
      <c r="F31" s="5"/>
      <c r="G31" s="5"/>
      <c r="H31" s="5"/>
      <c r="I31" s="5"/>
      <c r="J31" s="5"/>
      <c r="K31" s="5"/>
      <c r="L31" s="8"/>
      <c r="M31" s="40"/>
      <c r="N31" s="8"/>
      <c r="O31" s="5"/>
      <c r="P31" s="1430" t="s">
        <v>185</v>
      </c>
      <c r="Q31" s="1431"/>
      <c r="R31" s="1432"/>
      <c r="AJ31" s="9"/>
      <c r="AK31" s="9"/>
      <c r="AL31" s="9"/>
      <c r="AM31" s="9"/>
      <c r="AN31" s="9"/>
      <c r="AO31" s="9"/>
      <c r="AP31" s="9"/>
      <c r="AQ31" s="9"/>
      <c r="AR31" s="9"/>
      <c r="AS31" s="9"/>
      <c r="AT31" s="9"/>
      <c r="AU31" s="9"/>
      <c r="AV31" s="9"/>
      <c r="AW31" s="42"/>
      <c r="AX31" s="9"/>
      <c r="AY31" s="9"/>
      <c r="AZ31" s="9"/>
      <c r="BA31" s="9"/>
      <c r="BB31" s="9"/>
    </row>
    <row r="32" spans="2:54" ht="15.75">
      <c r="B32" s="5"/>
      <c r="C32" s="5"/>
      <c r="D32" s="5"/>
      <c r="E32" s="5"/>
      <c r="F32" s="5"/>
      <c r="G32" s="5"/>
      <c r="H32" s="5"/>
      <c r="I32" s="5"/>
      <c r="J32" s="5"/>
      <c r="K32" s="5"/>
      <c r="L32" s="8"/>
      <c r="M32" s="8"/>
      <c r="N32" s="8"/>
      <c r="O32" s="5"/>
      <c r="P32" s="1430"/>
      <c r="Q32" s="1431"/>
      <c r="R32" s="1433"/>
    </row>
    <row r="33" spans="12:18">
      <c r="L33" s="6"/>
      <c r="M33" s="6"/>
      <c r="N33" s="6"/>
      <c r="P33" s="1434"/>
      <c r="Q33" s="1435"/>
      <c r="R33" s="1436"/>
    </row>
  </sheetData>
  <mergeCells count="32">
    <mergeCell ref="AX8:AX9"/>
    <mergeCell ref="C7:P7"/>
    <mergeCell ref="Q7:Q8"/>
    <mergeCell ref="T8:T9"/>
    <mergeCell ref="U8:U9"/>
    <mergeCell ref="V8:V9"/>
    <mergeCell ref="W8:W9"/>
    <mergeCell ref="X8:X9"/>
    <mergeCell ref="Y8:Y9"/>
    <mergeCell ref="Z8:Z9"/>
    <mergeCell ref="AA8:AA9"/>
    <mergeCell ref="AB8:AB9"/>
    <mergeCell ref="AC8:AC9"/>
    <mergeCell ref="S7:S9"/>
    <mergeCell ref="C8:E8"/>
    <mergeCell ref="T7:AG7"/>
    <mergeCell ref="P31:R33"/>
    <mergeCell ref="AH7:AH9"/>
    <mergeCell ref="M2:Q2"/>
    <mergeCell ref="AJ7:AW7"/>
    <mergeCell ref="F8:G8"/>
    <mergeCell ref="AW8:AW9"/>
    <mergeCell ref="AJ2:AN2"/>
    <mergeCell ref="AE8:AE9"/>
    <mergeCell ref="AF8:AF9"/>
    <mergeCell ref="AJ8:AV8"/>
    <mergeCell ref="AG8:AG9"/>
    <mergeCell ref="AD8:AD9"/>
    <mergeCell ref="H8:H9"/>
    <mergeCell ref="I8:I9"/>
    <mergeCell ref="J8:J9"/>
    <mergeCell ref="M5:N5"/>
  </mergeCells>
  <pageMargins left="0.70866141732283472" right="0.70866141732283472" top="0.74803149606299213" bottom="0.74803149606299213" header="0.31496062992125984" footer="0.31496062992125984"/>
  <pageSetup scale="23" orientation="landscape" r:id="rId1"/>
  <drawing r:id="rId2"/>
</worksheet>
</file>

<file path=xl/worksheets/sheet6.xml><?xml version="1.0" encoding="utf-8"?>
<worksheet xmlns="http://schemas.openxmlformats.org/spreadsheetml/2006/main" xmlns:r="http://schemas.openxmlformats.org/officeDocument/2006/relationships">
  <sheetPr>
    <tabColor theme="1"/>
    <pageSetUpPr fitToPage="1"/>
  </sheetPr>
  <dimension ref="A1:AR53"/>
  <sheetViews>
    <sheetView zoomScaleNormal="100" workbookViewId="0">
      <pane xSplit="3" ySplit="9" topLeftCell="AA10" activePane="bottomRight" state="frozen"/>
      <selection pane="topRight" activeCell="C1" sqref="C1"/>
      <selection pane="bottomLeft" activeCell="A7" sqref="A7"/>
      <selection pane="bottomRight" activeCell="AR41" sqref="AR41"/>
    </sheetView>
  </sheetViews>
  <sheetFormatPr defaultRowHeight="15"/>
  <cols>
    <col min="1" max="1" width="2.5703125" customWidth="1"/>
    <col min="2" max="2" width="23" customWidth="1"/>
    <col min="3" max="3" width="12.7109375" customWidth="1"/>
    <col min="4" max="4" width="12.140625" customWidth="1"/>
    <col min="5" max="5" width="10" customWidth="1"/>
    <col min="6" max="11" width="13.140625" customWidth="1"/>
    <col min="13" max="13" width="12.5703125" bestFit="1" customWidth="1"/>
    <col min="14" max="14" width="2.7109375" customWidth="1"/>
    <col min="15" max="15" width="11.42578125" customWidth="1"/>
    <col min="16" max="16" width="10.28515625" customWidth="1"/>
    <col min="17" max="17" width="10.7109375" customWidth="1"/>
    <col min="18" max="18" width="10.42578125" customWidth="1"/>
    <col min="19" max="19" width="9.85546875" bestFit="1" customWidth="1"/>
    <col min="20" max="20" width="10.5703125" customWidth="1"/>
    <col min="21" max="21" width="10.85546875" customWidth="1"/>
    <col min="22" max="22" width="9.7109375" customWidth="1"/>
    <col min="23" max="23" width="10.42578125" customWidth="1"/>
    <col min="24" max="25" width="11.140625" customWidth="1"/>
    <col min="27" max="27" width="12.140625" customWidth="1"/>
    <col min="28" max="28" width="11.28515625" customWidth="1"/>
    <col min="29" max="29" width="13.28515625" customWidth="1"/>
    <col min="30" max="30" width="2.42578125" customWidth="1"/>
    <col min="31" max="40" width="10.28515625" customWidth="1"/>
    <col min="41" max="41" width="11.140625" customWidth="1"/>
    <col min="42" max="42" width="11" bestFit="1" customWidth="1"/>
    <col min="43" max="43" width="14" customWidth="1"/>
    <col min="44" max="44" width="11.42578125" customWidth="1"/>
  </cols>
  <sheetData>
    <row r="1" spans="1:44" s="10" customFormat="1" ht="19.5" thickBot="1">
      <c r="A1" s="3">
        <f>'1. KEY DATA'!C3</f>
        <v>0</v>
      </c>
      <c r="B1" s="3"/>
      <c r="Q1" s="85"/>
      <c r="R1" s="86" t="s">
        <v>90</v>
      </c>
      <c r="S1" s="87">
        <f>'1. KEY DATA'!C4</f>
        <v>0</v>
      </c>
      <c r="AP1" s="85"/>
      <c r="AQ1" s="86" t="s">
        <v>90</v>
      </c>
      <c r="AR1" s="87">
        <f>'1. KEY DATA'!C4</f>
        <v>0</v>
      </c>
    </row>
    <row r="2" spans="1:44" s="10" customFormat="1" ht="18" customHeight="1">
      <c r="A2" s="3" t="s">
        <v>352</v>
      </c>
      <c r="B2" s="1"/>
      <c r="C2" s="982"/>
      <c r="D2" s="1150">
        <f>'1. KEY DATA'!F6</f>
        <v>364</v>
      </c>
      <c r="O2" s="1244" t="s">
        <v>152</v>
      </c>
      <c r="P2" s="1245"/>
      <c r="Q2" s="1245"/>
      <c r="R2" s="1245"/>
      <c r="S2" s="1246"/>
      <c r="AN2" s="1244" t="s">
        <v>152</v>
      </c>
      <c r="AO2" s="1245"/>
      <c r="AP2" s="1245"/>
      <c r="AQ2" s="1245"/>
      <c r="AR2" s="1246"/>
    </row>
    <row r="3" spans="1:44" s="10" customFormat="1" ht="14.1" customHeight="1">
      <c r="A3" s="3"/>
      <c r="B3" s="3"/>
      <c r="O3" s="104"/>
      <c r="P3" s="114"/>
      <c r="Q3" s="106" t="s">
        <v>153</v>
      </c>
      <c r="R3" s="107"/>
      <c r="S3" s="108"/>
      <c r="AN3" s="104"/>
      <c r="AO3" s="114"/>
      <c r="AP3" s="106" t="s">
        <v>153</v>
      </c>
      <c r="AQ3" s="107"/>
      <c r="AR3" s="108"/>
    </row>
    <row r="4" spans="1:44" s="10" customFormat="1" ht="14.1" customHeight="1">
      <c r="A4" s="3"/>
      <c r="B4" s="3"/>
      <c r="O4" s="105"/>
      <c r="P4" s="117"/>
      <c r="Q4" s="106" t="s">
        <v>161</v>
      </c>
      <c r="R4" s="107"/>
      <c r="S4" s="108"/>
      <c r="AN4" s="105"/>
      <c r="AO4" s="117"/>
      <c r="AP4" s="106" t="s">
        <v>161</v>
      </c>
      <c r="AQ4" s="107"/>
      <c r="AR4" s="108"/>
    </row>
    <row r="5" spans="1:44" s="10" customFormat="1" ht="14.1" customHeight="1" thickBot="1">
      <c r="A5" s="3"/>
      <c r="B5" s="3"/>
      <c r="O5" s="1147"/>
      <c r="P5" s="1148"/>
      <c r="Q5" s="109" t="s">
        <v>154</v>
      </c>
      <c r="R5" s="110"/>
      <c r="S5" s="111"/>
      <c r="AN5" s="1218"/>
      <c r="AO5" s="1219"/>
      <c r="AP5" s="109" t="s">
        <v>154</v>
      </c>
      <c r="AQ5" s="110"/>
      <c r="AR5" s="111"/>
    </row>
    <row r="6" spans="1:44" s="10" customFormat="1" ht="21.75" thickBot="1">
      <c r="A6" s="3"/>
      <c r="B6" s="140" t="s">
        <v>131</v>
      </c>
      <c r="D6" s="66"/>
      <c r="E6" s="61"/>
      <c r="F6" s="59"/>
      <c r="G6" s="59"/>
      <c r="H6" s="59"/>
      <c r="I6" s="59"/>
      <c r="J6" s="59"/>
      <c r="K6" s="59"/>
      <c r="AE6" s="61"/>
      <c r="AF6" s="59"/>
      <c r="AG6" s="66"/>
      <c r="AH6" s="61"/>
      <c r="AI6" s="59"/>
    </row>
    <row r="7" spans="1:44" s="10" customFormat="1" ht="19.5" thickBot="1">
      <c r="A7" s="3"/>
      <c r="B7" s="3"/>
      <c r="D7" s="1360" t="s">
        <v>206</v>
      </c>
      <c r="E7" s="1361"/>
      <c r="F7" s="1361"/>
      <c r="G7" s="1361"/>
      <c r="H7" s="1361"/>
      <c r="I7" s="1361"/>
      <c r="J7" s="1361"/>
      <c r="K7" s="1361"/>
      <c r="L7" s="1379"/>
      <c r="M7" s="1479" t="s">
        <v>170</v>
      </c>
    </row>
    <row r="8" spans="1:44" s="9" customFormat="1" ht="15" customHeight="1" thickBot="1">
      <c r="B8" s="1477" t="s">
        <v>241</v>
      </c>
      <c r="C8" s="1482" t="s">
        <v>244</v>
      </c>
      <c r="D8" s="1475" t="s">
        <v>87</v>
      </c>
      <c r="E8" s="1475"/>
      <c r="F8" s="1476"/>
      <c r="G8" s="1471" t="s">
        <v>223</v>
      </c>
      <c r="H8" s="1471" t="s">
        <v>71</v>
      </c>
      <c r="I8" s="1471" t="s">
        <v>7</v>
      </c>
      <c r="J8" s="1471" t="s">
        <v>72</v>
      </c>
      <c r="K8" s="1471" t="s">
        <v>9</v>
      </c>
      <c r="L8" s="1473" t="s">
        <v>74</v>
      </c>
      <c r="M8" s="1480"/>
      <c r="O8" s="1468" t="s">
        <v>209</v>
      </c>
      <c r="P8" s="1469"/>
      <c r="Q8" s="1469"/>
      <c r="R8" s="1469"/>
      <c r="S8" s="1469"/>
      <c r="T8" s="1469"/>
      <c r="U8" s="1469"/>
      <c r="V8" s="1469"/>
      <c r="W8" s="1469"/>
      <c r="X8" s="1469"/>
      <c r="Y8" s="1469"/>
      <c r="Z8" s="1469"/>
      <c r="AA8" s="1469"/>
      <c r="AB8" s="1481"/>
      <c r="AC8" s="1370" t="s">
        <v>225</v>
      </c>
      <c r="AE8" s="1468" t="s">
        <v>210</v>
      </c>
      <c r="AF8" s="1469"/>
      <c r="AG8" s="1469"/>
      <c r="AH8" s="1469"/>
      <c r="AI8" s="1469"/>
      <c r="AJ8" s="1469"/>
      <c r="AK8" s="1469"/>
      <c r="AL8" s="1469"/>
      <c r="AM8" s="1469"/>
      <c r="AN8" s="1469"/>
      <c r="AO8" s="1469"/>
      <c r="AP8" s="1469"/>
      <c r="AQ8" s="1469"/>
      <c r="AR8" s="1470"/>
    </row>
    <row r="9" spans="1:44" s="9" customFormat="1" ht="60" customHeight="1" thickBot="1">
      <c r="B9" s="1478"/>
      <c r="C9" s="1474"/>
      <c r="D9" s="614" t="s">
        <v>10</v>
      </c>
      <c r="E9" s="604" t="s">
        <v>243</v>
      </c>
      <c r="F9" s="604" t="s">
        <v>242</v>
      </c>
      <c r="G9" s="1472"/>
      <c r="H9" s="1472"/>
      <c r="I9" s="1472"/>
      <c r="J9" s="1472"/>
      <c r="K9" s="1472"/>
      <c r="L9" s="1474"/>
      <c r="M9" s="515" t="s">
        <v>245</v>
      </c>
      <c r="O9" s="963">
        <f>'1. KEY DATA'!$C$34</f>
        <v>0</v>
      </c>
      <c r="P9" s="964">
        <f>'1. KEY DATA'!$C$35</f>
        <v>0</v>
      </c>
      <c r="Q9" s="964">
        <f>'1. KEY DATA'!$C$36</f>
        <v>0</v>
      </c>
      <c r="R9" s="964">
        <f>'1. KEY DATA'!$C$37</f>
        <v>0</v>
      </c>
      <c r="S9" s="964">
        <f>'1. KEY DATA'!$C$38</f>
        <v>0</v>
      </c>
      <c r="T9" s="964">
        <f>'1. KEY DATA'!$C$39</f>
        <v>0</v>
      </c>
      <c r="U9" s="964">
        <f>'1. KEY DATA'!$C$40</f>
        <v>0</v>
      </c>
      <c r="V9" s="964">
        <f>'1. KEY DATA'!$C$41</f>
        <v>0</v>
      </c>
      <c r="W9" s="964">
        <f>'1. KEY DATA'!$C$42</f>
        <v>0</v>
      </c>
      <c r="X9" s="964">
        <f>'1. KEY DATA'!$C$43</f>
        <v>0</v>
      </c>
      <c r="Y9" s="44" t="str">
        <f>'1. KEY DATA'!C44</f>
        <v>Health Professnals</v>
      </c>
      <c r="Z9" s="44" t="str">
        <f>'1. KEY DATA'!C46</f>
        <v>Accommodation</v>
      </c>
      <c r="AA9" s="44" t="str">
        <f>'1. KEY DATA'!C47</f>
        <v>Commercial &amp; Fund Raising</v>
      </c>
      <c r="AB9" s="97" t="str">
        <f>'1. KEY DATA'!C48</f>
        <v>Admin Overheads</v>
      </c>
      <c r="AC9" s="1372"/>
      <c r="AE9" s="977">
        <f>'1. KEY DATA'!$C$34</f>
        <v>0</v>
      </c>
      <c r="AF9" s="978">
        <f>'1. KEY DATA'!$C$35</f>
        <v>0</v>
      </c>
      <c r="AG9" s="978">
        <f>'1. KEY DATA'!$C$36</f>
        <v>0</v>
      </c>
      <c r="AH9" s="978">
        <f>'1. KEY DATA'!$C$37</f>
        <v>0</v>
      </c>
      <c r="AI9" s="978">
        <f>'1. KEY DATA'!$C$38</f>
        <v>0</v>
      </c>
      <c r="AJ9" s="978">
        <f>'1. KEY DATA'!$C$39</f>
        <v>0</v>
      </c>
      <c r="AK9" s="978">
        <f>'1. KEY DATA'!$C$40</f>
        <v>0</v>
      </c>
      <c r="AL9" s="978">
        <f>'1. KEY DATA'!$C$41</f>
        <v>0</v>
      </c>
      <c r="AM9" s="978">
        <f>'1. KEY DATA'!$C$42</f>
        <v>0</v>
      </c>
      <c r="AN9" s="978">
        <f>'1. KEY DATA'!$C$43</f>
        <v>0</v>
      </c>
      <c r="AO9" s="97" t="str">
        <f>Y9</f>
        <v>Health Professnals</v>
      </c>
      <c r="AP9" s="97" t="str">
        <f>Z9</f>
        <v>Accommodation</v>
      </c>
      <c r="AQ9" s="44" t="str">
        <f>AA9</f>
        <v>Commercial &amp; Fund Raising</v>
      </c>
      <c r="AR9" s="116" t="str">
        <f>AB9</f>
        <v>Admin Overheads</v>
      </c>
    </row>
    <row r="10" spans="1:44" s="9" customFormat="1">
      <c r="B10" s="1174"/>
      <c r="C10" s="526"/>
      <c r="D10" s="34"/>
      <c r="E10" s="34"/>
      <c r="F10" s="34"/>
      <c r="G10" s="33"/>
      <c r="H10" s="33"/>
      <c r="I10" s="33"/>
      <c r="J10" s="33"/>
      <c r="K10" s="33"/>
      <c r="L10" s="522"/>
      <c r="M10" s="516">
        <f t="shared" ref="M10:M49" si="0">SUM(D10:L10)</f>
        <v>0</v>
      </c>
      <c r="O10" s="985"/>
      <c r="P10" s="986"/>
      <c r="Q10" s="986"/>
      <c r="R10" s="986"/>
      <c r="S10" s="986"/>
      <c r="T10" s="986"/>
      <c r="U10" s="986"/>
      <c r="V10" s="986"/>
      <c r="W10" s="986"/>
      <c r="X10" s="986"/>
      <c r="Y10" s="987"/>
      <c r="Z10" s="987"/>
      <c r="AA10" s="987"/>
      <c r="AB10" s="988"/>
      <c r="AC10" s="958">
        <f>1-SUM(O10:AB10)</f>
        <v>1</v>
      </c>
      <c r="AE10" s="976" t="str">
        <f>IF($M10&gt;0,IF($AC10=0,O10*$M10,"alloc error"),"-")</f>
        <v>-</v>
      </c>
      <c r="AF10" s="284" t="str">
        <f t="shared" ref="AF10:AN10" si="1">IF($M10&gt;0,IF($AC10=0,P10*$M10,"alloc error"),"-")</f>
        <v>-</v>
      </c>
      <c r="AG10" s="284" t="str">
        <f t="shared" si="1"/>
        <v>-</v>
      </c>
      <c r="AH10" s="284" t="str">
        <f t="shared" si="1"/>
        <v>-</v>
      </c>
      <c r="AI10" s="284" t="str">
        <f t="shared" si="1"/>
        <v>-</v>
      </c>
      <c r="AJ10" s="284" t="str">
        <f t="shared" si="1"/>
        <v>-</v>
      </c>
      <c r="AK10" s="284" t="str">
        <f t="shared" si="1"/>
        <v>-</v>
      </c>
      <c r="AL10" s="284" t="str">
        <f t="shared" si="1"/>
        <v>-</v>
      </c>
      <c r="AM10" s="284" t="str">
        <f t="shared" si="1"/>
        <v>-</v>
      </c>
      <c r="AN10" s="284" t="str">
        <f t="shared" si="1"/>
        <v>-</v>
      </c>
      <c r="AO10" s="285" t="str">
        <f>IF($M10&gt;0,IF($AC10=0,Y10*$M10,"alloc error"),"-")</f>
        <v>-</v>
      </c>
      <c r="AP10" s="285" t="str">
        <f>IF($M10&gt;0,IF($AC10=0,Z10*$M10,"alloc error"),"-")</f>
        <v>-</v>
      </c>
      <c r="AQ10" s="285" t="str">
        <f>IF($M10&gt;0,IF($AC10=0,AA10*$M10,"alloc error"),"-")</f>
        <v>-</v>
      </c>
      <c r="AR10" s="286" t="str">
        <f>IF($M10&gt;0,IF($AC10=0,AB10*$M10,"alloc error"),"-")</f>
        <v>-</v>
      </c>
    </row>
    <row r="11" spans="1:44" s="9" customFormat="1">
      <c r="B11" s="1175"/>
      <c r="C11" s="527"/>
      <c r="D11" s="36"/>
      <c r="E11" s="36"/>
      <c r="F11" s="36"/>
      <c r="G11" s="35"/>
      <c r="H11" s="35"/>
      <c r="I11" s="35"/>
      <c r="J11" s="35"/>
      <c r="K11" s="35"/>
      <c r="L11" s="522"/>
      <c r="M11" s="517">
        <f t="shared" si="0"/>
        <v>0</v>
      </c>
      <c r="O11" s="952"/>
      <c r="P11" s="822"/>
      <c r="Q11" s="822"/>
      <c r="R11" s="822"/>
      <c r="S11" s="822"/>
      <c r="T11" s="822"/>
      <c r="U11" s="822"/>
      <c r="V11" s="989"/>
      <c r="W11" s="989"/>
      <c r="X11" s="989"/>
      <c r="Y11" s="990"/>
      <c r="Z11" s="990"/>
      <c r="AA11" s="990"/>
      <c r="AB11" s="991"/>
      <c r="AC11" s="959">
        <f t="shared" ref="AC11:AC49" si="2">1-SUM(O11:AB11)</f>
        <v>1</v>
      </c>
      <c r="AE11" s="210" t="str">
        <f t="shared" ref="AE11:AE49" si="3">IF($M11&gt;0,IF($AC11=0,O11*$M11,"alloc error"),"-")</f>
        <v>-</v>
      </c>
      <c r="AF11" s="208" t="str">
        <f t="shared" ref="AF11:AF49" si="4">IF($M11&gt;0,IF($AC11=0,P11*$M11,"alloc error"),"-")</f>
        <v>-</v>
      </c>
      <c r="AG11" s="208" t="str">
        <f t="shared" ref="AG11:AG49" si="5">IF($M11&gt;0,IF($AC11=0,Q11*$M11,"alloc error"),"-")</f>
        <v>-</v>
      </c>
      <c r="AH11" s="208" t="str">
        <f t="shared" ref="AH11:AH49" si="6">IF($M11&gt;0,IF($AC11=0,R11*$M11,"alloc error"),"-")</f>
        <v>-</v>
      </c>
      <c r="AI11" s="208" t="str">
        <f t="shared" ref="AI11:AI49" si="7">IF($M11&gt;0,IF($AC11=0,S11*$M11,"alloc error"),"-")</f>
        <v>-</v>
      </c>
      <c r="AJ11" s="208" t="str">
        <f t="shared" ref="AJ11:AJ49" si="8">IF($M11&gt;0,IF($AC11=0,T11*$M11,"alloc error"),"-")</f>
        <v>-</v>
      </c>
      <c r="AK11" s="208" t="str">
        <f t="shared" ref="AK11:AK49" si="9">IF($M11&gt;0,IF($AC11=0,U11*$M11,"alloc error"),"-")</f>
        <v>-</v>
      </c>
      <c r="AL11" s="208" t="str">
        <f t="shared" ref="AL11:AL49" si="10">IF($M11&gt;0,IF($AC11=0,V11*$M11,"alloc error"),"-")</f>
        <v>-</v>
      </c>
      <c r="AM11" s="208" t="str">
        <f t="shared" ref="AM11:AM49" si="11">IF($M11&gt;0,IF($AC11=0,W11*$M11,"alloc error"),"-")</f>
        <v>-</v>
      </c>
      <c r="AN11" s="208" t="str">
        <f t="shared" ref="AN11:AN49" si="12">IF($M11&gt;0,IF($AC11=0,X11*$M11,"alloc error"),"-")</f>
        <v>-</v>
      </c>
      <c r="AO11" s="209" t="str">
        <f t="shared" ref="AO11:AO49" si="13">IF($M11&gt;0,IF($AC11=0,Y11*$M11,"alloc error"),"-")</f>
        <v>-</v>
      </c>
      <c r="AP11" s="209" t="str">
        <f t="shared" ref="AP11:AP49" si="14">IF($M11&gt;0,IF($AC11=0,Z11*$M11,"alloc error"),"-")</f>
        <v>-</v>
      </c>
      <c r="AQ11" s="209" t="str">
        <f t="shared" ref="AQ11:AQ49" si="15">IF($M11&gt;0,IF($AC11=0,AA11*$M11,"alloc error"),"-")</f>
        <v>-</v>
      </c>
      <c r="AR11" s="211" t="str">
        <f t="shared" ref="AR11:AR49" si="16">IF($M11&gt;0,IF($AC11=0,AB11*$M11,"alloc error"),"-")</f>
        <v>-</v>
      </c>
    </row>
    <row r="12" spans="1:44" s="9" customFormat="1">
      <c r="B12" s="1175"/>
      <c r="C12" s="527"/>
      <c r="D12" s="36"/>
      <c r="E12" s="36"/>
      <c r="F12" s="36"/>
      <c r="G12" s="35"/>
      <c r="H12" s="35"/>
      <c r="I12" s="35"/>
      <c r="J12" s="35"/>
      <c r="K12" s="35"/>
      <c r="L12" s="522"/>
      <c r="M12" s="517">
        <f t="shared" si="0"/>
        <v>0</v>
      </c>
      <c r="O12" s="953"/>
      <c r="P12" s="823"/>
      <c r="Q12" s="823"/>
      <c r="R12" s="823"/>
      <c r="S12" s="823"/>
      <c r="T12" s="823"/>
      <c r="U12" s="823"/>
      <c r="V12" s="992"/>
      <c r="W12" s="992"/>
      <c r="X12" s="992"/>
      <c r="Y12" s="990"/>
      <c r="Z12" s="990"/>
      <c r="AA12" s="990"/>
      <c r="AB12" s="991"/>
      <c r="AC12" s="959">
        <f t="shared" si="2"/>
        <v>1</v>
      </c>
      <c r="AE12" s="210" t="str">
        <f t="shared" si="3"/>
        <v>-</v>
      </c>
      <c r="AF12" s="208" t="str">
        <f t="shared" si="4"/>
        <v>-</v>
      </c>
      <c r="AG12" s="208" t="str">
        <f t="shared" si="5"/>
        <v>-</v>
      </c>
      <c r="AH12" s="208" t="str">
        <f t="shared" si="6"/>
        <v>-</v>
      </c>
      <c r="AI12" s="208" t="str">
        <f t="shared" si="7"/>
        <v>-</v>
      </c>
      <c r="AJ12" s="208" t="str">
        <f t="shared" si="8"/>
        <v>-</v>
      </c>
      <c r="AK12" s="208" t="str">
        <f t="shared" si="9"/>
        <v>-</v>
      </c>
      <c r="AL12" s="208" t="str">
        <f t="shared" si="10"/>
        <v>-</v>
      </c>
      <c r="AM12" s="208" t="str">
        <f t="shared" si="11"/>
        <v>-</v>
      </c>
      <c r="AN12" s="208" t="str">
        <f t="shared" si="12"/>
        <v>-</v>
      </c>
      <c r="AO12" s="209" t="str">
        <f t="shared" si="13"/>
        <v>-</v>
      </c>
      <c r="AP12" s="209" t="str">
        <f t="shared" si="14"/>
        <v>-</v>
      </c>
      <c r="AQ12" s="209" t="str">
        <f t="shared" si="15"/>
        <v>-</v>
      </c>
      <c r="AR12" s="211" t="str">
        <f t="shared" si="16"/>
        <v>-</v>
      </c>
    </row>
    <row r="13" spans="1:44" s="9" customFormat="1">
      <c r="B13" s="1175"/>
      <c r="C13" s="527"/>
      <c r="D13" s="36"/>
      <c r="E13" s="36"/>
      <c r="F13" s="36"/>
      <c r="G13" s="35"/>
      <c r="H13" s="35"/>
      <c r="I13" s="35"/>
      <c r="J13" s="35"/>
      <c r="K13" s="35"/>
      <c r="L13" s="523"/>
      <c r="M13" s="517">
        <f t="shared" si="0"/>
        <v>0</v>
      </c>
      <c r="O13" s="953"/>
      <c r="P13" s="823"/>
      <c r="Q13" s="823"/>
      <c r="R13" s="823"/>
      <c r="S13" s="823"/>
      <c r="T13" s="823"/>
      <c r="U13" s="823"/>
      <c r="V13" s="992"/>
      <c r="W13" s="992"/>
      <c r="X13" s="992"/>
      <c r="Y13" s="990"/>
      <c r="Z13" s="990"/>
      <c r="AA13" s="990"/>
      <c r="AB13" s="991"/>
      <c r="AC13" s="959">
        <f t="shared" si="2"/>
        <v>1</v>
      </c>
      <c r="AE13" s="210" t="str">
        <f t="shared" si="3"/>
        <v>-</v>
      </c>
      <c r="AF13" s="208" t="str">
        <f t="shared" si="4"/>
        <v>-</v>
      </c>
      <c r="AG13" s="208" t="str">
        <f t="shared" si="5"/>
        <v>-</v>
      </c>
      <c r="AH13" s="208" t="str">
        <f t="shared" si="6"/>
        <v>-</v>
      </c>
      <c r="AI13" s="208" t="str">
        <f t="shared" si="7"/>
        <v>-</v>
      </c>
      <c r="AJ13" s="208" t="str">
        <f t="shared" si="8"/>
        <v>-</v>
      </c>
      <c r="AK13" s="208" t="str">
        <f t="shared" si="9"/>
        <v>-</v>
      </c>
      <c r="AL13" s="208" t="str">
        <f t="shared" si="10"/>
        <v>-</v>
      </c>
      <c r="AM13" s="208" t="str">
        <f t="shared" si="11"/>
        <v>-</v>
      </c>
      <c r="AN13" s="208" t="str">
        <f t="shared" si="12"/>
        <v>-</v>
      </c>
      <c r="AO13" s="209" t="str">
        <f t="shared" si="13"/>
        <v>-</v>
      </c>
      <c r="AP13" s="209" t="str">
        <f t="shared" si="14"/>
        <v>-</v>
      </c>
      <c r="AQ13" s="209" t="str">
        <f t="shared" si="15"/>
        <v>-</v>
      </c>
      <c r="AR13" s="211" t="str">
        <f t="shared" si="16"/>
        <v>-</v>
      </c>
    </row>
    <row r="14" spans="1:44" s="9" customFormat="1">
      <c r="B14" s="499"/>
      <c r="C14" s="527"/>
      <c r="D14" s="36"/>
      <c r="E14" s="36"/>
      <c r="F14" s="36"/>
      <c r="G14" s="35"/>
      <c r="H14" s="35"/>
      <c r="I14" s="35"/>
      <c r="J14" s="35"/>
      <c r="K14" s="35"/>
      <c r="L14" s="523"/>
      <c r="M14" s="517">
        <f t="shared" si="0"/>
        <v>0</v>
      </c>
      <c r="O14" s="953"/>
      <c r="P14" s="823"/>
      <c r="Q14" s="823"/>
      <c r="R14" s="823"/>
      <c r="S14" s="823"/>
      <c r="T14" s="823"/>
      <c r="U14" s="823"/>
      <c r="V14" s="992"/>
      <c r="W14" s="992"/>
      <c r="X14" s="992"/>
      <c r="Y14" s="990"/>
      <c r="Z14" s="990"/>
      <c r="AA14" s="990"/>
      <c r="AB14" s="991"/>
      <c r="AC14" s="959">
        <f t="shared" si="2"/>
        <v>1</v>
      </c>
      <c r="AE14" s="210" t="str">
        <f t="shared" si="3"/>
        <v>-</v>
      </c>
      <c r="AF14" s="208" t="str">
        <f t="shared" si="4"/>
        <v>-</v>
      </c>
      <c r="AG14" s="208" t="str">
        <f t="shared" si="5"/>
        <v>-</v>
      </c>
      <c r="AH14" s="208" t="str">
        <f t="shared" si="6"/>
        <v>-</v>
      </c>
      <c r="AI14" s="208" t="str">
        <f t="shared" si="7"/>
        <v>-</v>
      </c>
      <c r="AJ14" s="208" t="str">
        <f t="shared" si="8"/>
        <v>-</v>
      </c>
      <c r="AK14" s="208" t="str">
        <f t="shared" si="9"/>
        <v>-</v>
      </c>
      <c r="AL14" s="208" t="str">
        <f t="shared" si="10"/>
        <v>-</v>
      </c>
      <c r="AM14" s="208" t="str">
        <f t="shared" si="11"/>
        <v>-</v>
      </c>
      <c r="AN14" s="208" t="str">
        <f t="shared" si="12"/>
        <v>-</v>
      </c>
      <c r="AO14" s="209" t="str">
        <f t="shared" si="13"/>
        <v>-</v>
      </c>
      <c r="AP14" s="209" t="str">
        <f t="shared" si="14"/>
        <v>-</v>
      </c>
      <c r="AQ14" s="209" t="str">
        <f t="shared" si="15"/>
        <v>-</v>
      </c>
      <c r="AR14" s="211" t="str">
        <f t="shared" si="16"/>
        <v>-</v>
      </c>
    </row>
    <row r="15" spans="1:44" s="9" customFormat="1">
      <c r="B15" s="499"/>
      <c r="C15" s="527"/>
      <c r="D15" s="36"/>
      <c r="E15" s="36"/>
      <c r="F15" s="36"/>
      <c r="G15" s="35"/>
      <c r="H15" s="35"/>
      <c r="I15" s="35"/>
      <c r="J15" s="35"/>
      <c r="K15" s="35"/>
      <c r="L15" s="523"/>
      <c r="M15" s="517">
        <f t="shared" si="0"/>
        <v>0</v>
      </c>
      <c r="O15" s="953"/>
      <c r="P15" s="823"/>
      <c r="Q15" s="823"/>
      <c r="R15" s="823"/>
      <c r="S15" s="823"/>
      <c r="T15" s="823"/>
      <c r="U15" s="823"/>
      <c r="V15" s="992"/>
      <c r="W15" s="992"/>
      <c r="X15" s="992"/>
      <c r="Y15" s="990"/>
      <c r="Z15" s="990"/>
      <c r="AA15" s="990"/>
      <c r="AB15" s="991"/>
      <c r="AC15" s="959">
        <f t="shared" si="2"/>
        <v>1</v>
      </c>
      <c r="AE15" s="210" t="str">
        <f t="shared" si="3"/>
        <v>-</v>
      </c>
      <c r="AF15" s="208" t="str">
        <f t="shared" si="4"/>
        <v>-</v>
      </c>
      <c r="AG15" s="208" t="str">
        <f t="shared" si="5"/>
        <v>-</v>
      </c>
      <c r="AH15" s="208" t="str">
        <f t="shared" si="6"/>
        <v>-</v>
      </c>
      <c r="AI15" s="208" t="str">
        <f t="shared" si="7"/>
        <v>-</v>
      </c>
      <c r="AJ15" s="208" t="str">
        <f t="shared" si="8"/>
        <v>-</v>
      </c>
      <c r="AK15" s="208" t="str">
        <f t="shared" si="9"/>
        <v>-</v>
      </c>
      <c r="AL15" s="208" t="str">
        <f t="shared" si="10"/>
        <v>-</v>
      </c>
      <c r="AM15" s="208" t="str">
        <f t="shared" si="11"/>
        <v>-</v>
      </c>
      <c r="AN15" s="208" t="str">
        <f t="shared" si="12"/>
        <v>-</v>
      </c>
      <c r="AO15" s="209" t="str">
        <f t="shared" si="13"/>
        <v>-</v>
      </c>
      <c r="AP15" s="209" t="str">
        <f t="shared" si="14"/>
        <v>-</v>
      </c>
      <c r="AQ15" s="209" t="str">
        <f t="shared" si="15"/>
        <v>-</v>
      </c>
      <c r="AR15" s="211" t="str">
        <f t="shared" si="16"/>
        <v>-</v>
      </c>
    </row>
    <row r="16" spans="1:44" s="9" customFormat="1">
      <c r="B16" s="499"/>
      <c r="C16" s="527"/>
      <c r="D16" s="36"/>
      <c r="E16" s="36"/>
      <c r="F16" s="36"/>
      <c r="G16" s="35"/>
      <c r="H16" s="35"/>
      <c r="I16" s="35"/>
      <c r="J16" s="35"/>
      <c r="K16" s="35"/>
      <c r="L16" s="523"/>
      <c r="M16" s="517">
        <f t="shared" si="0"/>
        <v>0</v>
      </c>
      <c r="O16" s="953"/>
      <c r="P16" s="823"/>
      <c r="Q16" s="823"/>
      <c r="R16" s="823"/>
      <c r="S16" s="823"/>
      <c r="T16" s="823"/>
      <c r="U16" s="823"/>
      <c r="V16" s="992"/>
      <c r="W16" s="992"/>
      <c r="X16" s="992"/>
      <c r="Y16" s="990"/>
      <c r="Z16" s="990"/>
      <c r="AA16" s="990"/>
      <c r="AB16" s="991"/>
      <c r="AC16" s="959">
        <f t="shared" si="2"/>
        <v>1</v>
      </c>
      <c r="AE16" s="210" t="str">
        <f t="shared" si="3"/>
        <v>-</v>
      </c>
      <c r="AF16" s="208" t="str">
        <f t="shared" si="4"/>
        <v>-</v>
      </c>
      <c r="AG16" s="208" t="str">
        <f t="shared" si="5"/>
        <v>-</v>
      </c>
      <c r="AH16" s="208" t="str">
        <f t="shared" si="6"/>
        <v>-</v>
      </c>
      <c r="AI16" s="208" t="str">
        <f t="shared" si="7"/>
        <v>-</v>
      </c>
      <c r="AJ16" s="208" t="str">
        <f t="shared" si="8"/>
        <v>-</v>
      </c>
      <c r="AK16" s="208" t="str">
        <f t="shared" si="9"/>
        <v>-</v>
      </c>
      <c r="AL16" s="208" t="str">
        <f t="shared" si="10"/>
        <v>-</v>
      </c>
      <c r="AM16" s="208" t="str">
        <f t="shared" si="11"/>
        <v>-</v>
      </c>
      <c r="AN16" s="208" t="str">
        <f t="shared" si="12"/>
        <v>-</v>
      </c>
      <c r="AO16" s="209" t="str">
        <f t="shared" si="13"/>
        <v>-</v>
      </c>
      <c r="AP16" s="209" t="str">
        <f t="shared" si="14"/>
        <v>-</v>
      </c>
      <c r="AQ16" s="209" t="str">
        <f t="shared" si="15"/>
        <v>-</v>
      </c>
      <c r="AR16" s="211" t="str">
        <f t="shared" si="16"/>
        <v>-</v>
      </c>
    </row>
    <row r="17" spans="2:44" s="9" customFormat="1">
      <c r="B17" s="499"/>
      <c r="C17" s="527"/>
      <c r="D17" s="36"/>
      <c r="E17" s="36"/>
      <c r="F17" s="36"/>
      <c r="G17" s="35"/>
      <c r="H17" s="35"/>
      <c r="I17" s="35"/>
      <c r="J17" s="35"/>
      <c r="K17" s="35"/>
      <c r="L17" s="523"/>
      <c r="M17" s="517">
        <f t="shared" si="0"/>
        <v>0</v>
      </c>
      <c r="O17" s="953"/>
      <c r="P17" s="823"/>
      <c r="Q17" s="823"/>
      <c r="R17" s="823"/>
      <c r="S17" s="823"/>
      <c r="T17" s="823"/>
      <c r="U17" s="823"/>
      <c r="V17" s="992"/>
      <c r="W17" s="992"/>
      <c r="X17" s="992"/>
      <c r="Y17" s="990"/>
      <c r="Z17" s="990"/>
      <c r="AA17" s="990"/>
      <c r="AB17" s="991"/>
      <c r="AC17" s="959">
        <f t="shared" si="2"/>
        <v>1</v>
      </c>
      <c r="AE17" s="210" t="str">
        <f t="shared" si="3"/>
        <v>-</v>
      </c>
      <c r="AF17" s="208" t="str">
        <f t="shared" si="4"/>
        <v>-</v>
      </c>
      <c r="AG17" s="208" t="str">
        <f t="shared" si="5"/>
        <v>-</v>
      </c>
      <c r="AH17" s="208" t="str">
        <f t="shared" si="6"/>
        <v>-</v>
      </c>
      <c r="AI17" s="208" t="str">
        <f t="shared" si="7"/>
        <v>-</v>
      </c>
      <c r="AJ17" s="208" t="str">
        <f t="shared" si="8"/>
        <v>-</v>
      </c>
      <c r="AK17" s="208" t="str">
        <f t="shared" si="9"/>
        <v>-</v>
      </c>
      <c r="AL17" s="208" t="str">
        <f t="shared" si="10"/>
        <v>-</v>
      </c>
      <c r="AM17" s="208" t="str">
        <f t="shared" si="11"/>
        <v>-</v>
      </c>
      <c r="AN17" s="208" t="str">
        <f t="shared" si="12"/>
        <v>-</v>
      </c>
      <c r="AO17" s="209" t="str">
        <f t="shared" si="13"/>
        <v>-</v>
      </c>
      <c r="AP17" s="209" t="str">
        <f t="shared" si="14"/>
        <v>-</v>
      </c>
      <c r="AQ17" s="209" t="str">
        <f t="shared" si="15"/>
        <v>-</v>
      </c>
      <c r="AR17" s="211" t="str">
        <f t="shared" si="16"/>
        <v>-</v>
      </c>
    </row>
    <row r="18" spans="2:44" s="9" customFormat="1">
      <c r="B18" s="499"/>
      <c r="C18" s="527"/>
      <c r="D18" s="36"/>
      <c r="E18" s="36"/>
      <c r="F18" s="36"/>
      <c r="G18" s="35"/>
      <c r="H18" s="35"/>
      <c r="I18" s="35"/>
      <c r="J18" s="35"/>
      <c r="K18" s="35"/>
      <c r="L18" s="523"/>
      <c r="M18" s="517">
        <f t="shared" si="0"/>
        <v>0</v>
      </c>
      <c r="O18" s="953"/>
      <c r="P18" s="823"/>
      <c r="Q18" s="823"/>
      <c r="R18" s="823"/>
      <c r="S18" s="823"/>
      <c r="T18" s="823"/>
      <c r="U18" s="823"/>
      <c r="V18" s="992"/>
      <c r="W18" s="992"/>
      <c r="X18" s="992"/>
      <c r="Y18" s="990"/>
      <c r="Z18" s="990"/>
      <c r="AA18" s="990"/>
      <c r="AB18" s="991"/>
      <c r="AC18" s="959">
        <f t="shared" si="2"/>
        <v>1</v>
      </c>
      <c r="AE18" s="210" t="str">
        <f t="shared" si="3"/>
        <v>-</v>
      </c>
      <c r="AF18" s="208" t="str">
        <f t="shared" si="4"/>
        <v>-</v>
      </c>
      <c r="AG18" s="208" t="str">
        <f t="shared" si="5"/>
        <v>-</v>
      </c>
      <c r="AH18" s="208" t="str">
        <f t="shared" si="6"/>
        <v>-</v>
      </c>
      <c r="AI18" s="208" t="str">
        <f t="shared" si="7"/>
        <v>-</v>
      </c>
      <c r="AJ18" s="208" t="str">
        <f t="shared" si="8"/>
        <v>-</v>
      </c>
      <c r="AK18" s="208" t="str">
        <f t="shared" si="9"/>
        <v>-</v>
      </c>
      <c r="AL18" s="208" t="str">
        <f t="shared" si="10"/>
        <v>-</v>
      </c>
      <c r="AM18" s="208" t="str">
        <f t="shared" si="11"/>
        <v>-</v>
      </c>
      <c r="AN18" s="208" t="str">
        <f t="shared" si="12"/>
        <v>-</v>
      </c>
      <c r="AO18" s="209" t="str">
        <f t="shared" si="13"/>
        <v>-</v>
      </c>
      <c r="AP18" s="209" t="str">
        <f t="shared" si="14"/>
        <v>-</v>
      </c>
      <c r="AQ18" s="209" t="str">
        <f t="shared" si="15"/>
        <v>-</v>
      </c>
      <c r="AR18" s="211" t="str">
        <f t="shared" si="16"/>
        <v>-</v>
      </c>
    </row>
    <row r="19" spans="2:44" s="9" customFormat="1">
      <c r="B19" s="499"/>
      <c r="C19" s="527"/>
      <c r="D19" s="36"/>
      <c r="E19" s="36"/>
      <c r="F19" s="36"/>
      <c r="G19" s="35"/>
      <c r="H19" s="35"/>
      <c r="I19" s="35"/>
      <c r="J19" s="35"/>
      <c r="K19" s="35"/>
      <c r="L19" s="523"/>
      <c r="M19" s="517">
        <f t="shared" si="0"/>
        <v>0</v>
      </c>
      <c r="O19" s="953"/>
      <c r="P19" s="823"/>
      <c r="Q19" s="823"/>
      <c r="R19" s="823"/>
      <c r="S19" s="823"/>
      <c r="T19" s="823"/>
      <c r="U19" s="823"/>
      <c r="V19" s="992"/>
      <c r="W19" s="992"/>
      <c r="X19" s="992"/>
      <c r="Y19" s="990"/>
      <c r="Z19" s="990"/>
      <c r="AA19" s="990"/>
      <c r="AB19" s="991"/>
      <c r="AC19" s="959">
        <f t="shared" si="2"/>
        <v>1</v>
      </c>
      <c r="AE19" s="210" t="str">
        <f t="shared" si="3"/>
        <v>-</v>
      </c>
      <c r="AF19" s="208" t="str">
        <f t="shared" si="4"/>
        <v>-</v>
      </c>
      <c r="AG19" s="208" t="str">
        <f t="shared" si="5"/>
        <v>-</v>
      </c>
      <c r="AH19" s="208" t="str">
        <f t="shared" si="6"/>
        <v>-</v>
      </c>
      <c r="AI19" s="208" t="str">
        <f t="shared" si="7"/>
        <v>-</v>
      </c>
      <c r="AJ19" s="208" t="str">
        <f t="shared" si="8"/>
        <v>-</v>
      </c>
      <c r="AK19" s="208" t="str">
        <f t="shared" si="9"/>
        <v>-</v>
      </c>
      <c r="AL19" s="208" t="str">
        <f t="shared" si="10"/>
        <v>-</v>
      </c>
      <c r="AM19" s="208" t="str">
        <f t="shared" si="11"/>
        <v>-</v>
      </c>
      <c r="AN19" s="208" t="str">
        <f t="shared" si="12"/>
        <v>-</v>
      </c>
      <c r="AO19" s="209" t="str">
        <f t="shared" si="13"/>
        <v>-</v>
      </c>
      <c r="AP19" s="209" t="str">
        <f t="shared" si="14"/>
        <v>-</v>
      </c>
      <c r="AQ19" s="209" t="str">
        <f t="shared" si="15"/>
        <v>-</v>
      </c>
      <c r="AR19" s="211" t="str">
        <f t="shared" si="16"/>
        <v>-</v>
      </c>
    </row>
    <row r="20" spans="2:44" s="9" customFormat="1">
      <c r="B20" s="499"/>
      <c r="C20" s="527"/>
      <c r="D20" s="36"/>
      <c r="E20" s="36"/>
      <c r="F20" s="36"/>
      <c r="G20" s="35"/>
      <c r="H20" s="35"/>
      <c r="I20" s="35"/>
      <c r="J20" s="35"/>
      <c r="K20" s="35"/>
      <c r="L20" s="523"/>
      <c r="M20" s="517">
        <f t="shared" si="0"/>
        <v>0</v>
      </c>
      <c r="O20" s="953"/>
      <c r="P20" s="823"/>
      <c r="Q20" s="823"/>
      <c r="R20" s="823"/>
      <c r="S20" s="823"/>
      <c r="T20" s="823"/>
      <c r="U20" s="823"/>
      <c r="V20" s="992"/>
      <c r="W20" s="992"/>
      <c r="X20" s="992"/>
      <c r="Y20" s="990"/>
      <c r="Z20" s="990"/>
      <c r="AA20" s="990"/>
      <c r="AB20" s="991"/>
      <c r="AC20" s="959">
        <f t="shared" si="2"/>
        <v>1</v>
      </c>
      <c r="AE20" s="210" t="str">
        <f t="shared" si="3"/>
        <v>-</v>
      </c>
      <c r="AF20" s="208" t="str">
        <f t="shared" si="4"/>
        <v>-</v>
      </c>
      <c r="AG20" s="208" t="str">
        <f t="shared" si="5"/>
        <v>-</v>
      </c>
      <c r="AH20" s="208" t="str">
        <f t="shared" si="6"/>
        <v>-</v>
      </c>
      <c r="AI20" s="208" t="str">
        <f t="shared" si="7"/>
        <v>-</v>
      </c>
      <c r="AJ20" s="208" t="str">
        <f t="shared" si="8"/>
        <v>-</v>
      </c>
      <c r="AK20" s="208" t="str">
        <f t="shared" si="9"/>
        <v>-</v>
      </c>
      <c r="AL20" s="208" t="str">
        <f t="shared" si="10"/>
        <v>-</v>
      </c>
      <c r="AM20" s="208" t="str">
        <f t="shared" si="11"/>
        <v>-</v>
      </c>
      <c r="AN20" s="208" t="str">
        <f t="shared" si="12"/>
        <v>-</v>
      </c>
      <c r="AO20" s="209" t="str">
        <f t="shared" si="13"/>
        <v>-</v>
      </c>
      <c r="AP20" s="209" t="str">
        <f t="shared" si="14"/>
        <v>-</v>
      </c>
      <c r="AQ20" s="209" t="str">
        <f t="shared" si="15"/>
        <v>-</v>
      </c>
      <c r="AR20" s="211" t="str">
        <f t="shared" si="16"/>
        <v>-</v>
      </c>
    </row>
    <row r="21" spans="2:44" s="9" customFormat="1">
      <c r="B21" s="499"/>
      <c r="C21" s="527"/>
      <c r="D21" s="36"/>
      <c r="E21" s="36"/>
      <c r="F21" s="36"/>
      <c r="G21" s="35"/>
      <c r="H21" s="35"/>
      <c r="I21" s="35"/>
      <c r="J21" s="35"/>
      <c r="K21" s="35"/>
      <c r="L21" s="523"/>
      <c r="M21" s="517">
        <f t="shared" si="0"/>
        <v>0</v>
      </c>
      <c r="O21" s="953"/>
      <c r="P21" s="823"/>
      <c r="Q21" s="823"/>
      <c r="R21" s="823"/>
      <c r="S21" s="823"/>
      <c r="T21" s="823"/>
      <c r="U21" s="823"/>
      <c r="V21" s="992"/>
      <c r="W21" s="992"/>
      <c r="X21" s="992"/>
      <c r="Y21" s="990"/>
      <c r="Z21" s="990"/>
      <c r="AA21" s="990"/>
      <c r="AB21" s="991"/>
      <c r="AC21" s="959">
        <f t="shared" si="2"/>
        <v>1</v>
      </c>
      <c r="AE21" s="210" t="str">
        <f t="shared" si="3"/>
        <v>-</v>
      </c>
      <c r="AF21" s="208" t="str">
        <f t="shared" si="4"/>
        <v>-</v>
      </c>
      <c r="AG21" s="208" t="str">
        <f t="shared" si="5"/>
        <v>-</v>
      </c>
      <c r="AH21" s="208" t="str">
        <f t="shared" si="6"/>
        <v>-</v>
      </c>
      <c r="AI21" s="208" t="str">
        <f t="shared" si="7"/>
        <v>-</v>
      </c>
      <c r="AJ21" s="208" t="str">
        <f t="shared" si="8"/>
        <v>-</v>
      </c>
      <c r="AK21" s="208" t="str">
        <f t="shared" si="9"/>
        <v>-</v>
      </c>
      <c r="AL21" s="208" t="str">
        <f t="shared" si="10"/>
        <v>-</v>
      </c>
      <c r="AM21" s="208" t="str">
        <f t="shared" si="11"/>
        <v>-</v>
      </c>
      <c r="AN21" s="208" t="str">
        <f t="shared" si="12"/>
        <v>-</v>
      </c>
      <c r="AO21" s="209" t="str">
        <f t="shared" si="13"/>
        <v>-</v>
      </c>
      <c r="AP21" s="209" t="str">
        <f t="shared" si="14"/>
        <v>-</v>
      </c>
      <c r="AQ21" s="209" t="str">
        <f t="shared" si="15"/>
        <v>-</v>
      </c>
      <c r="AR21" s="211" t="str">
        <f t="shared" si="16"/>
        <v>-</v>
      </c>
    </row>
    <row r="22" spans="2:44" s="9" customFormat="1">
      <c r="B22" s="499"/>
      <c r="C22" s="527"/>
      <c r="D22" s="36"/>
      <c r="E22" s="36"/>
      <c r="F22" s="36"/>
      <c r="G22" s="35"/>
      <c r="H22" s="35"/>
      <c r="I22" s="35"/>
      <c r="J22" s="35"/>
      <c r="K22" s="35"/>
      <c r="L22" s="523"/>
      <c r="M22" s="517">
        <f t="shared" si="0"/>
        <v>0</v>
      </c>
      <c r="O22" s="953"/>
      <c r="P22" s="823"/>
      <c r="Q22" s="823"/>
      <c r="R22" s="823"/>
      <c r="S22" s="823"/>
      <c r="T22" s="823"/>
      <c r="U22" s="823"/>
      <c r="V22" s="992"/>
      <c r="W22" s="992"/>
      <c r="X22" s="992"/>
      <c r="Y22" s="990"/>
      <c r="Z22" s="990"/>
      <c r="AA22" s="990"/>
      <c r="AB22" s="991"/>
      <c r="AC22" s="959">
        <f t="shared" si="2"/>
        <v>1</v>
      </c>
      <c r="AE22" s="210" t="str">
        <f t="shared" si="3"/>
        <v>-</v>
      </c>
      <c r="AF22" s="208" t="str">
        <f t="shared" si="4"/>
        <v>-</v>
      </c>
      <c r="AG22" s="208" t="str">
        <f t="shared" si="5"/>
        <v>-</v>
      </c>
      <c r="AH22" s="208" t="str">
        <f t="shared" si="6"/>
        <v>-</v>
      </c>
      <c r="AI22" s="208" t="str">
        <f t="shared" si="7"/>
        <v>-</v>
      </c>
      <c r="AJ22" s="208" t="str">
        <f t="shared" si="8"/>
        <v>-</v>
      </c>
      <c r="AK22" s="208" t="str">
        <f t="shared" si="9"/>
        <v>-</v>
      </c>
      <c r="AL22" s="208" t="str">
        <f t="shared" si="10"/>
        <v>-</v>
      </c>
      <c r="AM22" s="208" t="str">
        <f t="shared" si="11"/>
        <v>-</v>
      </c>
      <c r="AN22" s="208" t="str">
        <f t="shared" si="12"/>
        <v>-</v>
      </c>
      <c r="AO22" s="209" t="str">
        <f t="shared" si="13"/>
        <v>-</v>
      </c>
      <c r="AP22" s="209" t="str">
        <f t="shared" si="14"/>
        <v>-</v>
      </c>
      <c r="AQ22" s="209" t="str">
        <f t="shared" si="15"/>
        <v>-</v>
      </c>
      <c r="AR22" s="211" t="str">
        <f t="shared" si="16"/>
        <v>-</v>
      </c>
    </row>
    <row r="23" spans="2:44" s="9" customFormat="1">
      <c r="B23" s="499"/>
      <c r="C23" s="527"/>
      <c r="D23" s="36"/>
      <c r="E23" s="36"/>
      <c r="F23" s="36"/>
      <c r="G23" s="35"/>
      <c r="H23" s="35"/>
      <c r="I23" s="35"/>
      <c r="J23" s="35"/>
      <c r="K23" s="35"/>
      <c r="L23" s="523"/>
      <c r="M23" s="517">
        <f t="shared" si="0"/>
        <v>0</v>
      </c>
      <c r="O23" s="953"/>
      <c r="P23" s="823"/>
      <c r="Q23" s="823"/>
      <c r="R23" s="823"/>
      <c r="S23" s="823"/>
      <c r="T23" s="823"/>
      <c r="U23" s="823"/>
      <c r="V23" s="992"/>
      <c r="W23" s="992"/>
      <c r="X23" s="992"/>
      <c r="Y23" s="990"/>
      <c r="Z23" s="990"/>
      <c r="AA23" s="990"/>
      <c r="AB23" s="991"/>
      <c r="AC23" s="959">
        <f t="shared" si="2"/>
        <v>1</v>
      </c>
      <c r="AE23" s="210" t="str">
        <f t="shared" si="3"/>
        <v>-</v>
      </c>
      <c r="AF23" s="208" t="str">
        <f t="shared" si="4"/>
        <v>-</v>
      </c>
      <c r="AG23" s="208" t="str">
        <f t="shared" si="5"/>
        <v>-</v>
      </c>
      <c r="AH23" s="208" t="str">
        <f t="shared" si="6"/>
        <v>-</v>
      </c>
      <c r="AI23" s="208" t="str">
        <f t="shared" si="7"/>
        <v>-</v>
      </c>
      <c r="AJ23" s="208" t="str">
        <f t="shared" si="8"/>
        <v>-</v>
      </c>
      <c r="AK23" s="208" t="str">
        <f t="shared" si="9"/>
        <v>-</v>
      </c>
      <c r="AL23" s="208" t="str">
        <f t="shared" si="10"/>
        <v>-</v>
      </c>
      <c r="AM23" s="208" t="str">
        <f t="shared" si="11"/>
        <v>-</v>
      </c>
      <c r="AN23" s="208" t="str">
        <f t="shared" si="12"/>
        <v>-</v>
      </c>
      <c r="AO23" s="209" t="str">
        <f t="shared" si="13"/>
        <v>-</v>
      </c>
      <c r="AP23" s="209" t="str">
        <f t="shared" si="14"/>
        <v>-</v>
      </c>
      <c r="AQ23" s="209" t="str">
        <f t="shared" si="15"/>
        <v>-</v>
      </c>
      <c r="AR23" s="211" t="str">
        <f t="shared" si="16"/>
        <v>-</v>
      </c>
    </row>
    <row r="24" spans="2:44" s="9" customFormat="1">
      <c r="B24" s="499"/>
      <c r="C24" s="527"/>
      <c r="D24" s="36"/>
      <c r="E24" s="36"/>
      <c r="F24" s="36"/>
      <c r="G24" s="35"/>
      <c r="H24" s="35"/>
      <c r="I24" s="35"/>
      <c r="J24" s="35"/>
      <c r="K24" s="35"/>
      <c r="L24" s="523"/>
      <c r="M24" s="517">
        <f t="shared" si="0"/>
        <v>0</v>
      </c>
      <c r="O24" s="953"/>
      <c r="P24" s="823"/>
      <c r="Q24" s="823"/>
      <c r="R24" s="823"/>
      <c r="S24" s="823"/>
      <c r="T24" s="823"/>
      <c r="U24" s="823"/>
      <c r="V24" s="992"/>
      <c r="W24" s="992"/>
      <c r="X24" s="992"/>
      <c r="Y24" s="990"/>
      <c r="Z24" s="990"/>
      <c r="AA24" s="990"/>
      <c r="AB24" s="991"/>
      <c r="AC24" s="959">
        <f t="shared" si="2"/>
        <v>1</v>
      </c>
      <c r="AE24" s="210" t="str">
        <f t="shared" si="3"/>
        <v>-</v>
      </c>
      <c r="AF24" s="208" t="str">
        <f t="shared" si="4"/>
        <v>-</v>
      </c>
      <c r="AG24" s="208" t="str">
        <f t="shared" si="5"/>
        <v>-</v>
      </c>
      <c r="AH24" s="208" t="str">
        <f t="shared" si="6"/>
        <v>-</v>
      </c>
      <c r="AI24" s="208" t="str">
        <f t="shared" si="7"/>
        <v>-</v>
      </c>
      <c r="AJ24" s="208" t="str">
        <f t="shared" si="8"/>
        <v>-</v>
      </c>
      <c r="AK24" s="208" t="str">
        <f t="shared" si="9"/>
        <v>-</v>
      </c>
      <c r="AL24" s="208" t="str">
        <f t="shared" si="10"/>
        <v>-</v>
      </c>
      <c r="AM24" s="208" t="str">
        <f t="shared" si="11"/>
        <v>-</v>
      </c>
      <c r="AN24" s="208" t="str">
        <f t="shared" si="12"/>
        <v>-</v>
      </c>
      <c r="AO24" s="209" t="str">
        <f t="shared" si="13"/>
        <v>-</v>
      </c>
      <c r="AP24" s="209" t="str">
        <f t="shared" si="14"/>
        <v>-</v>
      </c>
      <c r="AQ24" s="209" t="str">
        <f t="shared" si="15"/>
        <v>-</v>
      </c>
      <c r="AR24" s="211" t="str">
        <f t="shared" si="16"/>
        <v>-</v>
      </c>
    </row>
    <row r="25" spans="2:44" s="9" customFormat="1">
      <c r="B25" s="499"/>
      <c r="C25" s="527"/>
      <c r="D25" s="36"/>
      <c r="E25" s="36"/>
      <c r="F25" s="36"/>
      <c r="G25" s="35"/>
      <c r="H25" s="35"/>
      <c r="I25" s="35"/>
      <c r="J25" s="35"/>
      <c r="K25" s="35"/>
      <c r="L25" s="523"/>
      <c r="M25" s="517">
        <f t="shared" si="0"/>
        <v>0</v>
      </c>
      <c r="O25" s="953"/>
      <c r="P25" s="823"/>
      <c r="Q25" s="823"/>
      <c r="R25" s="823"/>
      <c r="S25" s="823"/>
      <c r="T25" s="823"/>
      <c r="U25" s="823"/>
      <c r="V25" s="992"/>
      <c r="W25" s="992"/>
      <c r="X25" s="992"/>
      <c r="Y25" s="990"/>
      <c r="Z25" s="990"/>
      <c r="AA25" s="990"/>
      <c r="AB25" s="991"/>
      <c r="AC25" s="959">
        <f t="shared" si="2"/>
        <v>1</v>
      </c>
      <c r="AE25" s="210" t="str">
        <f t="shared" si="3"/>
        <v>-</v>
      </c>
      <c r="AF25" s="208" t="str">
        <f t="shared" si="4"/>
        <v>-</v>
      </c>
      <c r="AG25" s="208" t="str">
        <f t="shared" si="5"/>
        <v>-</v>
      </c>
      <c r="AH25" s="208" t="str">
        <f t="shared" si="6"/>
        <v>-</v>
      </c>
      <c r="AI25" s="208" t="str">
        <f t="shared" si="7"/>
        <v>-</v>
      </c>
      <c r="AJ25" s="208" t="str">
        <f t="shared" si="8"/>
        <v>-</v>
      </c>
      <c r="AK25" s="208" t="str">
        <f t="shared" si="9"/>
        <v>-</v>
      </c>
      <c r="AL25" s="208" t="str">
        <f t="shared" si="10"/>
        <v>-</v>
      </c>
      <c r="AM25" s="208" t="str">
        <f t="shared" si="11"/>
        <v>-</v>
      </c>
      <c r="AN25" s="208" t="str">
        <f t="shared" si="12"/>
        <v>-</v>
      </c>
      <c r="AO25" s="209" t="str">
        <f t="shared" si="13"/>
        <v>-</v>
      </c>
      <c r="AP25" s="209" t="str">
        <f t="shared" si="14"/>
        <v>-</v>
      </c>
      <c r="AQ25" s="209" t="str">
        <f t="shared" si="15"/>
        <v>-</v>
      </c>
      <c r="AR25" s="211" t="str">
        <f t="shared" si="16"/>
        <v>-</v>
      </c>
    </row>
    <row r="26" spans="2:44" s="9" customFormat="1">
      <c r="B26" s="499"/>
      <c r="C26" s="527"/>
      <c r="D26" s="36"/>
      <c r="E26" s="36"/>
      <c r="F26" s="36"/>
      <c r="G26" s="35"/>
      <c r="H26" s="35"/>
      <c r="I26" s="35"/>
      <c r="J26" s="35"/>
      <c r="K26" s="35"/>
      <c r="L26" s="523"/>
      <c r="M26" s="517">
        <f t="shared" si="0"/>
        <v>0</v>
      </c>
      <c r="O26" s="953"/>
      <c r="P26" s="823"/>
      <c r="Q26" s="823"/>
      <c r="R26" s="823"/>
      <c r="S26" s="823"/>
      <c r="T26" s="823"/>
      <c r="U26" s="823"/>
      <c r="V26" s="992"/>
      <c r="W26" s="992"/>
      <c r="X26" s="992"/>
      <c r="Y26" s="990"/>
      <c r="Z26" s="990"/>
      <c r="AA26" s="990"/>
      <c r="AB26" s="991"/>
      <c r="AC26" s="959">
        <f t="shared" si="2"/>
        <v>1</v>
      </c>
      <c r="AE26" s="210" t="str">
        <f t="shared" si="3"/>
        <v>-</v>
      </c>
      <c r="AF26" s="208" t="str">
        <f t="shared" si="4"/>
        <v>-</v>
      </c>
      <c r="AG26" s="208" t="str">
        <f t="shared" si="5"/>
        <v>-</v>
      </c>
      <c r="AH26" s="208" t="str">
        <f t="shared" si="6"/>
        <v>-</v>
      </c>
      <c r="AI26" s="208" t="str">
        <f t="shared" si="7"/>
        <v>-</v>
      </c>
      <c r="AJ26" s="208" t="str">
        <f t="shared" si="8"/>
        <v>-</v>
      </c>
      <c r="AK26" s="208" t="str">
        <f t="shared" si="9"/>
        <v>-</v>
      </c>
      <c r="AL26" s="208" t="str">
        <f t="shared" si="10"/>
        <v>-</v>
      </c>
      <c r="AM26" s="208" t="str">
        <f t="shared" si="11"/>
        <v>-</v>
      </c>
      <c r="AN26" s="208" t="str">
        <f t="shared" si="12"/>
        <v>-</v>
      </c>
      <c r="AO26" s="209" t="str">
        <f t="shared" si="13"/>
        <v>-</v>
      </c>
      <c r="AP26" s="209" t="str">
        <f t="shared" si="14"/>
        <v>-</v>
      </c>
      <c r="AQ26" s="209" t="str">
        <f t="shared" si="15"/>
        <v>-</v>
      </c>
      <c r="AR26" s="211" t="str">
        <f t="shared" si="16"/>
        <v>-</v>
      </c>
    </row>
    <row r="27" spans="2:44" s="9" customFormat="1">
      <c r="B27" s="499"/>
      <c r="C27" s="527"/>
      <c r="D27" s="36"/>
      <c r="E27" s="36"/>
      <c r="F27" s="36"/>
      <c r="G27" s="35"/>
      <c r="H27" s="35"/>
      <c r="I27" s="35"/>
      <c r="J27" s="35"/>
      <c r="K27" s="35"/>
      <c r="L27" s="523"/>
      <c r="M27" s="517">
        <f t="shared" si="0"/>
        <v>0</v>
      </c>
      <c r="O27" s="953"/>
      <c r="P27" s="823"/>
      <c r="Q27" s="823"/>
      <c r="R27" s="823"/>
      <c r="S27" s="823"/>
      <c r="T27" s="823"/>
      <c r="U27" s="823"/>
      <c r="V27" s="992"/>
      <c r="W27" s="992"/>
      <c r="X27" s="992"/>
      <c r="Y27" s="990"/>
      <c r="Z27" s="990"/>
      <c r="AA27" s="990"/>
      <c r="AB27" s="991"/>
      <c r="AC27" s="959">
        <f t="shared" si="2"/>
        <v>1</v>
      </c>
      <c r="AE27" s="210" t="str">
        <f t="shared" si="3"/>
        <v>-</v>
      </c>
      <c r="AF27" s="208" t="str">
        <f t="shared" si="4"/>
        <v>-</v>
      </c>
      <c r="AG27" s="208" t="str">
        <f t="shared" si="5"/>
        <v>-</v>
      </c>
      <c r="AH27" s="208" t="str">
        <f t="shared" si="6"/>
        <v>-</v>
      </c>
      <c r="AI27" s="208" t="str">
        <f t="shared" si="7"/>
        <v>-</v>
      </c>
      <c r="AJ27" s="208" t="str">
        <f t="shared" si="8"/>
        <v>-</v>
      </c>
      <c r="AK27" s="208" t="str">
        <f t="shared" si="9"/>
        <v>-</v>
      </c>
      <c r="AL27" s="208" t="str">
        <f t="shared" si="10"/>
        <v>-</v>
      </c>
      <c r="AM27" s="208" t="str">
        <f t="shared" si="11"/>
        <v>-</v>
      </c>
      <c r="AN27" s="208" t="str">
        <f t="shared" si="12"/>
        <v>-</v>
      </c>
      <c r="AO27" s="209" t="str">
        <f t="shared" si="13"/>
        <v>-</v>
      </c>
      <c r="AP27" s="209" t="str">
        <f t="shared" si="14"/>
        <v>-</v>
      </c>
      <c r="AQ27" s="209" t="str">
        <f t="shared" si="15"/>
        <v>-</v>
      </c>
      <c r="AR27" s="211" t="str">
        <f t="shared" si="16"/>
        <v>-</v>
      </c>
    </row>
    <row r="28" spans="2:44" s="9" customFormat="1">
      <c r="B28" s="499"/>
      <c r="C28" s="527"/>
      <c r="D28" s="36"/>
      <c r="E28" s="36"/>
      <c r="F28" s="36"/>
      <c r="G28" s="35"/>
      <c r="H28" s="35"/>
      <c r="I28" s="35"/>
      <c r="J28" s="35"/>
      <c r="K28" s="35"/>
      <c r="L28" s="523"/>
      <c r="M28" s="517">
        <f t="shared" si="0"/>
        <v>0</v>
      </c>
      <c r="O28" s="953"/>
      <c r="P28" s="823"/>
      <c r="Q28" s="823"/>
      <c r="R28" s="823"/>
      <c r="S28" s="823"/>
      <c r="T28" s="823"/>
      <c r="U28" s="823"/>
      <c r="V28" s="992"/>
      <c r="W28" s="992"/>
      <c r="X28" s="992"/>
      <c r="Y28" s="990"/>
      <c r="Z28" s="990"/>
      <c r="AA28" s="990"/>
      <c r="AB28" s="991"/>
      <c r="AC28" s="959">
        <f t="shared" si="2"/>
        <v>1</v>
      </c>
      <c r="AE28" s="210" t="str">
        <f t="shared" si="3"/>
        <v>-</v>
      </c>
      <c r="AF28" s="208" t="str">
        <f t="shared" si="4"/>
        <v>-</v>
      </c>
      <c r="AG28" s="208" t="str">
        <f t="shared" si="5"/>
        <v>-</v>
      </c>
      <c r="AH28" s="208" t="str">
        <f t="shared" si="6"/>
        <v>-</v>
      </c>
      <c r="AI28" s="208" t="str">
        <f t="shared" si="7"/>
        <v>-</v>
      </c>
      <c r="AJ28" s="208" t="str">
        <f t="shared" si="8"/>
        <v>-</v>
      </c>
      <c r="AK28" s="208" t="str">
        <f t="shared" si="9"/>
        <v>-</v>
      </c>
      <c r="AL28" s="208" t="str">
        <f t="shared" si="10"/>
        <v>-</v>
      </c>
      <c r="AM28" s="208" t="str">
        <f t="shared" si="11"/>
        <v>-</v>
      </c>
      <c r="AN28" s="208" t="str">
        <f t="shared" si="12"/>
        <v>-</v>
      </c>
      <c r="AO28" s="209" t="str">
        <f t="shared" si="13"/>
        <v>-</v>
      </c>
      <c r="AP28" s="209" t="str">
        <f t="shared" si="14"/>
        <v>-</v>
      </c>
      <c r="AQ28" s="209" t="str">
        <f t="shared" si="15"/>
        <v>-</v>
      </c>
      <c r="AR28" s="211" t="str">
        <f t="shared" si="16"/>
        <v>-</v>
      </c>
    </row>
    <row r="29" spans="2:44" s="9" customFormat="1">
      <c r="B29" s="499"/>
      <c r="C29" s="527"/>
      <c r="D29" s="36"/>
      <c r="E29" s="36"/>
      <c r="F29" s="36"/>
      <c r="G29" s="35"/>
      <c r="H29" s="35"/>
      <c r="I29" s="35"/>
      <c r="J29" s="35"/>
      <c r="K29" s="35"/>
      <c r="L29" s="523"/>
      <c r="M29" s="517">
        <f t="shared" si="0"/>
        <v>0</v>
      </c>
      <c r="O29" s="953"/>
      <c r="P29" s="823"/>
      <c r="Q29" s="823"/>
      <c r="R29" s="823"/>
      <c r="S29" s="823"/>
      <c r="T29" s="823"/>
      <c r="U29" s="823"/>
      <c r="V29" s="992"/>
      <c r="W29" s="992"/>
      <c r="X29" s="992"/>
      <c r="Y29" s="990"/>
      <c r="Z29" s="990"/>
      <c r="AA29" s="990"/>
      <c r="AB29" s="991"/>
      <c r="AC29" s="959">
        <f t="shared" si="2"/>
        <v>1</v>
      </c>
      <c r="AE29" s="210" t="str">
        <f t="shared" si="3"/>
        <v>-</v>
      </c>
      <c r="AF29" s="208" t="str">
        <f t="shared" si="4"/>
        <v>-</v>
      </c>
      <c r="AG29" s="208" t="str">
        <f t="shared" si="5"/>
        <v>-</v>
      </c>
      <c r="AH29" s="208" t="str">
        <f t="shared" si="6"/>
        <v>-</v>
      </c>
      <c r="AI29" s="208" t="str">
        <f t="shared" si="7"/>
        <v>-</v>
      </c>
      <c r="AJ29" s="208" t="str">
        <f t="shared" si="8"/>
        <v>-</v>
      </c>
      <c r="AK29" s="208" t="str">
        <f t="shared" si="9"/>
        <v>-</v>
      </c>
      <c r="AL29" s="208" t="str">
        <f t="shared" si="10"/>
        <v>-</v>
      </c>
      <c r="AM29" s="208" t="str">
        <f t="shared" si="11"/>
        <v>-</v>
      </c>
      <c r="AN29" s="208" t="str">
        <f t="shared" si="12"/>
        <v>-</v>
      </c>
      <c r="AO29" s="209" t="str">
        <f t="shared" si="13"/>
        <v>-</v>
      </c>
      <c r="AP29" s="209" t="str">
        <f t="shared" si="14"/>
        <v>-</v>
      </c>
      <c r="AQ29" s="209" t="str">
        <f t="shared" si="15"/>
        <v>-</v>
      </c>
      <c r="AR29" s="211" t="str">
        <f t="shared" si="16"/>
        <v>-</v>
      </c>
    </row>
    <row r="30" spans="2:44" s="9" customFormat="1">
      <c r="B30" s="499"/>
      <c r="C30" s="527"/>
      <c r="D30" s="36"/>
      <c r="E30" s="36"/>
      <c r="F30" s="36"/>
      <c r="G30" s="35"/>
      <c r="H30" s="35"/>
      <c r="I30" s="35"/>
      <c r="J30" s="35"/>
      <c r="K30" s="35"/>
      <c r="L30" s="523"/>
      <c r="M30" s="517">
        <f t="shared" si="0"/>
        <v>0</v>
      </c>
      <c r="O30" s="953"/>
      <c r="P30" s="823"/>
      <c r="Q30" s="823"/>
      <c r="R30" s="823"/>
      <c r="S30" s="823"/>
      <c r="T30" s="823"/>
      <c r="U30" s="823"/>
      <c r="V30" s="992"/>
      <c r="W30" s="992"/>
      <c r="X30" s="992"/>
      <c r="Y30" s="990"/>
      <c r="Z30" s="990"/>
      <c r="AA30" s="990"/>
      <c r="AB30" s="991"/>
      <c r="AC30" s="959">
        <f t="shared" si="2"/>
        <v>1</v>
      </c>
      <c r="AE30" s="210" t="str">
        <f t="shared" si="3"/>
        <v>-</v>
      </c>
      <c r="AF30" s="208" t="str">
        <f t="shared" si="4"/>
        <v>-</v>
      </c>
      <c r="AG30" s="208" t="str">
        <f t="shared" si="5"/>
        <v>-</v>
      </c>
      <c r="AH30" s="208" t="str">
        <f t="shared" si="6"/>
        <v>-</v>
      </c>
      <c r="AI30" s="208" t="str">
        <f t="shared" si="7"/>
        <v>-</v>
      </c>
      <c r="AJ30" s="208" t="str">
        <f t="shared" si="8"/>
        <v>-</v>
      </c>
      <c r="AK30" s="208" t="str">
        <f t="shared" si="9"/>
        <v>-</v>
      </c>
      <c r="AL30" s="208" t="str">
        <f t="shared" si="10"/>
        <v>-</v>
      </c>
      <c r="AM30" s="208" t="str">
        <f t="shared" si="11"/>
        <v>-</v>
      </c>
      <c r="AN30" s="208" t="str">
        <f t="shared" si="12"/>
        <v>-</v>
      </c>
      <c r="AO30" s="209" t="str">
        <f t="shared" si="13"/>
        <v>-</v>
      </c>
      <c r="AP30" s="209" t="str">
        <f t="shared" si="14"/>
        <v>-</v>
      </c>
      <c r="AQ30" s="209" t="str">
        <f t="shared" si="15"/>
        <v>-</v>
      </c>
      <c r="AR30" s="211" t="str">
        <f t="shared" si="16"/>
        <v>-</v>
      </c>
    </row>
    <row r="31" spans="2:44" s="9" customFormat="1">
      <c r="B31" s="499"/>
      <c r="C31" s="527"/>
      <c r="D31" s="36"/>
      <c r="E31" s="36"/>
      <c r="F31" s="36"/>
      <c r="G31" s="35"/>
      <c r="H31" s="35"/>
      <c r="I31" s="35"/>
      <c r="J31" s="35"/>
      <c r="K31" s="35"/>
      <c r="L31" s="523"/>
      <c r="M31" s="517">
        <f t="shared" si="0"/>
        <v>0</v>
      </c>
      <c r="O31" s="953"/>
      <c r="P31" s="823"/>
      <c r="Q31" s="823"/>
      <c r="R31" s="823"/>
      <c r="S31" s="823"/>
      <c r="T31" s="823"/>
      <c r="U31" s="823"/>
      <c r="V31" s="992"/>
      <c r="W31" s="992"/>
      <c r="X31" s="992"/>
      <c r="Y31" s="990"/>
      <c r="Z31" s="990"/>
      <c r="AA31" s="990"/>
      <c r="AB31" s="991"/>
      <c r="AC31" s="959">
        <f t="shared" si="2"/>
        <v>1</v>
      </c>
      <c r="AE31" s="210" t="str">
        <f t="shared" si="3"/>
        <v>-</v>
      </c>
      <c r="AF31" s="208" t="str">
        <f t="shared" si="4"/>
        <v>-</v>
      </c>
      <c r="AG31" s="208" t="str">
        <f t="shared" si="5"/>
        <v>-</v>
      </c>
      <c r="AH31" s="208" t="str">
        <f t="shared" si="6"/>
        <v>-</v>
      </c>
      <c r="AI31" s="208" t="str">
        <f t="shared" si="7"/>
        <v>-</v>
      </c>
      <c r="AJ31" s="208" t="str">
        <f t="shared" si="8"/>
        <v>-</v>
      </c>
      <c r="AK31" s="208" t="str">
        <f t="shared" si="9"/>
        <v>-</v>
      </c>
      <c r="AL31" s="208" t="str">
        <f t="shared" si="10"/>
        <v>-</v>
      </c>
      <c r="AM31" s="208" t="str">
        <f t="shared" si="11"/>
        <v>-</v>
      </c>
      <c r="AN31" s="208" t="str">
        <f t="shared" si="12"/>
        <v>-</v>
      </c>
      <c r="AO31" s="209" t="str">
        <f t="shared" si="13"/>
        <v>-</v>
      </c>
      <c r="AP31" s="209" t="str">
        <f t="shared" si="14"/>
        <v>-</v>
      </c>
      <c r="AQ31" s="209" t="str">
        <f t="shared" si="15"/>
        <v>-</v>
      </c>
      <c r="AR31" s="211" t="str">
        <f t="shared" si="16"/>
        <v>-</v>
      </c>
    </row>
    <row r="32" spans="2:44" s="9" customFormat="1">
      <c r="B32" s="499"/>
      <c r="C32" s="527"/>
      <c r="D32" s="36"/>
      <c r="E32" s="36"/>
      <c r="F32" s="36"/>
      <c r="G32" s="35"/>
      <c r="H32" s="35"/>
      <c r="I32" s="35"/>
      <c r="J32" s="35"/>
      <c r="K32" s="35"/>
      <c r="L32" s="523"/>
      <c r="M32" s="518">
        <f t="shared" si="0"/>
        <v>0</v>
      </c>
      <c r="O32" s="953"/>
      <c r="P32" s="823"/>
      <c r="Q32" s="823"/>
      <c r="R32" s="823"/>
      <c r="S32" s="823"/>
      <c r="T32" s="823"/>
      <c r="U32" s="823"/>
      <c r="V32" s="992"/>
      <c r="W32" s="992"/>
      <c r="X32" s="992"/>
      <c r="Y32" s="990"/>
      <c r="Z32" s="990"/>
      <c r="AA32" s="990"/>
      <c r="AB32" s="991"/>
      <c r="AC32" s="959">
        <f t="shared" si="2"/>
        <v>1</v>
      </c>
      <c r="AE32" s="210" t="str">
        <f t="shared" si="3"/>
        <v>-</v>
      </c>
      <c r="AF32" s="208" t="str">
        <f t="shared" si="4"/>
        <v>-</v>
      </c>
      <c r="AG32" s="208" t="str">
        <f t="shared" si="5"/>
        <v>-</v>
      </c>
      <c r="AH32" s="208" t="str">
        <f t="shared" si="6"/>
        <v>-</v>
      </c>
      <c r="AI32" s="208" t="str">
        <f t="shared" si="7"/>
        <v>-</v>
      </c>
      <c r="AJ32" s="208" t="str">
        <f t="shared" si="8"/>
        <v>-</v>
      </c>
      <c r="AK32" s="208" t="str">
        <f t="shared" si="9"/>
        <v>-</v>
      </c>
      <c r="AL32" s="208" t="str">
        <f t="shared" si="10"/>
        <v>-</v>
      </c>
      <c r="AM32" s="208" t="str">
        <f t="shared" si="11"/>
        <v>-</v>
      </c>
      <c r="AN32" s="208" t="str">
        <f t="shared" si="12"/>
        <v>-</v>
      </c>
      <c r="AO32" s="209" t="str">
        <f t="shared" si="13"/>
        <v>-</v>
      </c>
      <c r="AP32" s="209" t="str">
        <f t="shared" si="14"/>
        <v>-</v>
      </c>
      <c r="AQ32" s="209" t="str">
        <f t="shared" si="15"/>
        <v>-</v>
      </c>
      <c r="AR32" s="211" t="str">
        <f t="shared" si="16"/>
        <v>-</v>
      </c>
    </row>
    <row r="33" spans="2:44" s="9" customFormat="1">
      <c r="B33" s="499"/>
      <c r="C33" s="527"/>
      <c r="D33" s="36"/>
      <c r="E33" s="36"/>
      <c r="F33" s="36"/>
      <c r="G33" s="35"/>
      <c r="H33" s="35"/>
      <c r="I33" s="35"/>
      <c r="J33" s="35"/>
      <c r="K33" s="35"/>
      <c r="L33" s="523"/>
      <c r="M33" s="518">
        <f t="shared" si="0"/>
        <v>0</v>
      </c>
      <c r="O33" s="953"/>
      <c r="P33" s="823"/>
      <c r="Q33" s="823"/>
      <c r="R33" s="823"/>
      <c r="S33" s="823"/>
      <c r="T33" s="823"/>
      <c r="U33" s="823"/>
      <c r="V33" s="992"/>
      <c r="W33" s="992"/>
      <c r="X33" s="992"/>
      <c r="Y33" s="990"/>
      <c r="Z33" s="990"/>
      <c r="AA33" s="990"/>
      <c r="AB33" s="991"/>
      <c r="AC33" s="959">
        <f t="shared" si="2"/>
        <v>1</v>
      </c>
      <c r="AE33" s="210" t="str">
        <f t="shared" si="3"/>
        <v>-</v>
      </c>
      <c r="AF33" s="208" t="str">
        <f t="shared" si="4"/>
        <v>-</v>
      </c>
      <c r="AG33" s="208" t="str">
        <f t="shared" si="5"/>
        <v>-</v>
      </c>
      <c r="AH33" s="208" t="str">
        <f t="shared" si="6"/>
        <v>-</v>
      </c>
      <c r="AI33" s="208" t="str">
        <f t="shared" si="7"/>
        <v>-</v>
      </c>
      <c r="AJ33" s="208" t="str">
        <f t="shared" si="8"/>
        <v>-</v>
      </c>
      <c r="AK33" s="208" t="str">
        <f t="shared" si="9"/>
        <v>-</v>
      </c>
      <c r="AL33" s="208" t="str">
        <f t="shared" si="10"/>
        <v>-</v>
      </c>
      <c r="AM33" s="208" t="str">
        <f t="shared" si="11"/>
        <v>-</v>
      </c>
      <c r="AN33" s="208" t="str">
        <f t="shared" si="12"/>
        <v>-</v>
      </c>
      <c r="AO33" s="209" t="str">
        <f t="shared" si="13"/>
        <v>-</v>
      </c>
      <c r="AP33" s="209" t="str">
        <f t="shared" si="14"/>
        <v>-</v>
      </c>
      <c r="AQ33" s="209" t="str">
        <f t="shared" si="15"/>
        <v>-</v>
      </c>
      <c r="AR33" s="211" t="str">
        <f t="shared" si="16"/>
        <v>-</v>
      </c>
    </row>
    <row r="34" spans="2:44" s="9" customFormat="1">
      <c r="B34" s="499"/>
      <c r="C34" s="527"/>
      <c r="D34" s="36"/>
      <c r="E34" s="36"/>
      <c r="F34" s="36"/>
      <c r="G34" s="35"/>
      <c r="H34" s="35"/>
      <c r="I34" s="35"/>
      <c r="J34" s="35"/>
      <c r="K34" s="35"/>
      <c r="L34" s="523"/>
      <c r="M34" s="518">
        <f t="shared" si="0"/>
        <v>0</v>
      </c>
      <c r="O34" s="953"/>
      <c r="P34" s="823"/>
      <c r="Q34" s="823"/>
      <c r="R34" s="823"/>
      <c r="S34" s="823"/>
      <c r="T34" s="823"/>
      <c r="U34" s="823"/>
      <c r="V34" s="992"/>
      <c r="W34" s="992"/>
      <c r="X34" s="992"/>
      <c r="Y34" s="990"/>
      <c r="Z34" s="990"/>
      <c r="AA34" s="990"/>
      <c r="AB34" s="991"/>
      <c r="AC34" s="959">
        <f t="shared" si="2"/>
        <v>1</v>
      </c>
      <c r="AE34" s="210" t="str">
        <f t="shared" si="3"/>
        <v>-</v>
      </c>
      <c r="AF34" s="208" t="str">
        <f t="shared" si="4"/>
        <v>-</v>
      </c>
      <c r="AG34" s="208" t="str">
        <f t="shared" si="5"/>
        <v>-</v>
      </c>
      <c r="AH34" s="208" t="str">
        <f t="shared" si="6"/>
        <v>-</v>
      </c>
      <c r="AI34" s="208" t="str">
        <f t="shared" si="7"/>
        <v>-</v>
      </c>
      <c r="AJ34" s="208" t="str">
        <f t="shared" si="8"/>
        <v>-</v>
      </c>
      <c r="AK34" s="208" t="str">
        <f t="shared" si="9"/>
        <v>-</v>
      </c>
      <c r="AL34" s="208" t="str">
        <f t="shared" si="10"/>
        <v>-</v>
      </c>
      <c r="AM34" s="208" t="str">
        <f t="shared" si="11"/>
        <v>-</v>
      </c>
      <c r="AN34" s="208" t="str">
        <f t="shared" si="12"/>
        <v>-</v>
      </c>
      <c r="AO34" s="209" t="str">
        <f t="shared" si="13"/>
        <v>-</v>
      </c>
      <c r="AP34" s="209" t="str">
        <f t="shared" si="14"/>
        <v>-</v>
      </c>
      <c r="AQ34" s="209" t="str">
        <f t="shared" si="15"/>
        <v>-</v>
      </c>
      <c r="AR34" s="211" t="str">
        <f t="shared" si="16"/>
        <v>-</v>
      </c>
    </row>
    <row r="35" spans="2:44" s="9" customFormat="1">
      <c r="B35" s="499"/>
      <c r="C35" s="527"/>
      <c r="D35" s="36"/>
      <c r="E35" s="36"/>
      <c r="F35" s="36"/>
      <c r="G35" s="35"/>
      <c r="H35" s="35"/>
      <c r="I35" s="35"/>
      <c r="J35" s="35"/>
      <c r="K35" s="35"/>
      <c r="L35" s="523"/>
      <c r="M35" s="518">
        <f t="shared" si="0"/>
        <v>0</v>
      </c>
      <c r="O35" s="953"/>
      <c r="P35" s="823"/>
      <c r="Q35" s="823"/>
      <c r="R35" s="823"/>
      <c r="S35" s="823"/>
      <c r="T35" s="823"/>
      <c r="U35" s="823"/>
      <c r="V35" s="992"/>
      <c r="W35" s="992"/>
      <c r="X35" s="992"/>
      <c r="Y35" s="990"/>
      <c r="Z35" s="990"/>
      <c r="AA35" s="990"/>
      <c r="AB35" s="991"/>
      <c r="AC35" s="959">
        <f t="shared" si="2"/>
        <v>1</v>
      </c>
      <c r="AE35" s="210" t="str">
        <f t="shared" si="3"/>
        <v>-</v>
      </c>
      <c r="AF35" s="208" t="str">
        <f t="shared" si="4"/>
        <v>-</v>
      </c>
      <c r="AG35" s="208" t="str">
        <f t="shared" si="5"/>
        <v>-</v>
      </c>
      <c r="AH35" s="208" t="str">
        <f t="shared" si="6"/>
        <v>-</v>
      </c>
      <c r="AI35" s="208" t="str">
        <f t="shared" si="7"/>
        <v>-</v>
      </c>
      <c r="AJ35" s="208" t="str">
        <f t="shared" si="8"/>
        <v>-</v>
      </c>
      <c r="AK35" s="208" t="str">
        <f t="shared" si="9"/>
        <v>-</v>
      </c>
      <c r="AL35" s="208" t="str">
        <f t="shared" si="10"/>
        <v>-</v>
      </c>
      <c r="AM35" s="208" t="str">
        <f t="shared" si="11"/>
        <v>-</v>
      </c>
      <c r="AN35" s="208" t="str">
        <f t="shared" si="12"/>
        <v>-</v>
      </c>
      <c r="AO35" s="209" t="str">
        <f t="shared" si="13"/>
        <v>-</v>
      </c>
      <c r="AP35" s="209" t="str">
        <f t="shared" si="14"/>
        <v>-</v>
      </c>
      <c r="AQ35" s="209" t="str">
        <f t="shared" si="15"/>
        <v>-</v>
      </c>
      <c r="AR35" s="211" t="str">
        <f t="shared" si="16"/>
        <v>-</v>
      </c>
    </row>
    <row r="36" spans="2:44" s="9" customFormat="1">
      <c r="B36" s="499"/>
      <c r="C36" s="527"/>
      <c r="D36" s="36"/>
      <c r="E36" s="36"/>
      <c r="F36" s="36"/>
      <c r="G36" s="35"/>
      <c r="H36" s="35"/>
      <c r="I36" s="35"/>
      <c r="J36" s="35"/>
      <c r="K36" s="35"/>
      <c r="L36" s="523"/>
      <c r="M36" s="518">
        <f t="shared" si="0"/>
        <v>0</v>
      </c>
      <c r="O36" s="953"/>
      <c r="P36" s="823"/>
      <c r="Q36" s="823"/>
      <c r="R36" s="823"/>
      <c r="S36" s="823"/>
      <c r="T36" s="823"/>
      <c r="U36" s="823"/>
      <c r="V36" s="992"/>
      <c r="W36" s="992"/>
      <c r="X36" s="992"/>
      <c r="Y36" s="990"/>
      <c r="Z36" s="990"/>
      <c r="AA36" s="990"/>
      <c r="AB36" s="991"/>
      <c r="AC36" s="959">
        <f t="shared" si="2"/>
        <v>1</v>
      </c>
      <c r="AE36" s="210" t="str">
        <f t="shared" si="3"/>
        <v>-</v>
      </c>
      <c r="AF36" s="208" t="str">
        <f t="shared" si="4"/>
        <v>-</v>
      </c>
      <c r="AG36" s="208" t="str">
        <f t="shared" si="5"/>
        <v>-</v>
      </c>
      <c r="AH36" s="208" t="str">
        <f t="shared" si="6"/>
        <v>-</v>
      </c>
      <c r="AI36" s="208" t="str">
        <f t="shared" si="7"/>
        <v>-</v>
      </c>
      <c r="AJ36" s="208" t="str">
        <f t="shared" si="8"/>
        <v>-</v>
      </c>
      <c r="AK36" s="208" t="str">
        <f t="shared" si="9"/>
        <v>-</v>
      </c>
      <c r="AL36" s="208" t="str">
        <f t="shared" si="10"/>
        <v>-</v>
      </c>
      <c r="AM36" s="208" t="str">
        <f t="shared" si="11"/>
        <v>-</v>
      </c>
      <c r="AN36" s="208" t="str">
        <f t="shared" si="12"/>
        <v>-</v>
      </c>
      <c r="AO36" s="209" t="str">
        <f t="shared" si="13"/>
        <v>-</v>
      </c>
      <c r="AP36" s="209" t="str">
        <f t="shared" si="14"/>
        <v>-</v>
      </c>
      <c r="AQ36" s="209" t="str">
        <f t="shared" si="15"/>
        <v>-</v>
      </c>
      <c r="AR36" s="211" t="str">
        <f t="shared" si="16"/>
        <v>-</v>
      </c>
    </row>
    <row r="37" spans="2:44" s="9" customFormat="1">
      <c r="B37" s="499"/>
      <c r="C37" s="527"/>
      <c r="D37" s="36"/>
      <c r="E37" s="36"/>
      <c r="F37" s="36"/>
      <c r="G37" s="35"/>
      <c r="H37" s="35"/>
      <c r="I37" s="35"/>
      <c r="J37" s="35"/>
      <c r="K37" s="35"/>
      <c r="L37" s="523"/>
      <c r="M37" s="518">
        <f t="shared" si="0"/>
        <v>0</v>
      </c>
      <c r="O37" s="953"/>
      <c r="P37" s="823"/>
      <c r="Q37" s="823"/>
      <c r="R37" s="823"/>
      <c r="S37" s="823"/>
      <c r="T37" s="823"/>
      <c r="U37" s="823"/>
      <c r="V37" s="992"/>
      <c r="W37" s="992"/>
      <c r="X37" s="992"/>
      <c r="Y37" s="990"/>
      <c r="Z37" s="990"/>
      <c r="AA37" s="990"/>
      <c r="AB37" s="991"/>
      <c r="AC37" s="959">
        <f t="shared" si="2"/>
        <v>1</v>
      </c>
      <c r="AE37" s="210" t="str">
        <f t="shared" si="3"/>
        <v>-</v>
      </c>
      <c r="AF37" s="208" t="str">
        <f t="shared" si="4"/>
        <v>-</v>
      </c>
      <c r="AG37" s="208" t="str">
        <f t="shared" si="5"/>
        <v>-</v>
      </c>
      <c r="AH37" s="208" t="str">
        <f t="shared" si="6"/>
        <v>-</v>
      </c>
      <c r="AI37" s="208" t="str">
        <f t="shared" si="7"/>
        <v>-</v>
      </c>
      <c r="AJ37" s="208" t="str">
        <f t="shared" si="8"/>
        <v>-</v>
      </c>
      <c r="AK37" s="208" t="str">
        <f t="shared" si="9"/>
        <v>-</v>
      </c>
      <c r="AL37" s="208" t="str">
        <f t="shared" si="10"/>
        <v>-</v>
      </c>
      <c r="AM37" s="208" t="str">
        <f t="shared" si="11"/>
        <v>-</v>
      </c>
      <c r="AN37" s="208" t="str">
        <f t="shared" si="12"/>
        <v>-</v>
      </c>
      <c r="AO37" s="209" t="str">
        <f t="shared" si="13"/>
        <v>-</v>
      </c>
      <c r="AP37" s="209" t="str">
        <f t="shared" si="14"/>
        <v>-</v>
      </c>
      <c r="AQ37" s="209" t="str">
        <f t="shared" si="15"/>
        <v>-</v>
      </c>
      <c r="AR37" s="211" t="str">
        <f t="shared" si="16"/>
        <v>-</v>
      </c>
    </row>
    <row r="38" spans="2:44" s="9" customFormat="1">
      <c r="B38" s="499"/>
      <c r="C38" s="527"/>
      <c r="D38" s="36"/>
      <c r="E38" s="36"/>
      <c r="F38" s="36"/>
      <c r="G38" s="35"/>
      <c r="H38" s="35"/>
      <c r="I38" s="35"/>
      <c r="J38" s="35"/>
      <c r="K38" s="35"/>
      <c r="L38" s="523"/>
      <c r="M38" s="518">
        <f t="shared" si="0"/>
        <v>0</v>
      </c>
      <c r="O38" s="953"/>
      <c r="P38" s="823"/>
      <c r="Q38" s="823"/>
      <c r="R38" s="823"/>
      <c r="S38" s="823"/>
      <c r="T38" s="823"/>
      <c r="U38" s="823"/>
      <c r="V38" s="992"/>
      <c r="W38" s="992"/>
      <c r="X38" s="992"/>
      <c r="Y38" s="990"/>
      <c r="Z38" s="990"/>
      <c r="AA38" s="990"/>
      <c r="AB38" s="991"/>
      <c r="AC38" s="959">
        <f t="shared" si="2"/>
        <v>1</v>
      </c>
      <c r="AE38" s="210" t="str">
        <f t="shared" si="3"/>
        <v>-</v>
      </c>
      <c r="AF38" s="208" t="str">
        <f t="shared" si="4"/>
        <v>-</v>
      </c>
      <c r="AG38" s="208" t="str">
        <f t="shared" si="5"/>
        <v>-</v>
      </c>
      <c r="AH38" s="208" t="str">
        <f t="shared" si="6"/>
        <v>-</v>
      </c>
      <c r="AI38" s="208" t="str">
        <f t="shared" si="7"/>
        <v>-</v>
      </c>
      <c r="AJ38" s="208" t="str">
        <f t="shared" si="8"/>
        <v>-</v>
      </c>
      <c r="AK38" s="208" t="str">
        <f t="shared" si="9"/>
        <v>-</v>
      </c>
      <c r="AL38" s="208" t="str">
        <f t="shared" si="10"/>
        <v>-</v>
      </c>
      <c r="AM38" s="208" t="str">
        <f t="shared" si="11"/>
        <v>-</v>
      </c>
      <c r="AN38" s="208" t="str">
        <f t="shared" si="12"/>
        <v>-</v>
      </c>
      <c r="AO38" s="209" t="str">
        <f t="shared" si="13"/>
        <v>-</v>
      </c>
      <c r="AP38" s="209" t="str">
        <f t="shared" si="14"/>
        <v>-</v>
      </c>
      <c r="AQ38" s="209" t="str">
        <f t="shared" si="15"/>
        <v>-</v>
      </c>
      <c r="AR38" s="211" t="str">
        <f t="shared" si="16"/>
        <v>-</v>
      </c>
    </row>
    <row r="39" spans="2:44" s="9" customFormat="1">
      <c r="B39" s="499"/>
      <c r="C39" s="528"/>
      <c r="D39" s="279"/>
      <c r="E39" s="279"/>
      <c r="F39" s="279"/>
      <c r="G39" s="278"/>
      <c r="H39" s="278"/>
      <c r="I39" s="278"/>
      <c r="J39" s="278"/>
      <c r="K39" s="278"/>
      <c r="L39" s="523"/>
      <c r="M39" s="518">
        <f t="shared" si="0"/>
        <v>0</v>
      </c>
      <c r="O39" s="954"/>
      <c r="P39" s="955"/>
      <c r="Q39" s="955"/>
      <c r="R39" s="955"/>
      <c r="S39" s="955"/>
      <c r="T39" s="955"/>
      <c r="U39" s="955"/>
      <c r="V39" s="992"/>
      <c r="W39" s="992"/>
      <c r="X39" s="992"/>
      <c r="Y39" s="990"/>
      <c r="Z39" s="990"/>
      <c r="AA39" s="990"/>
      <c r="AB39" s="991"/>
      <c r="AC39" s="959">
        <f t="shared" si="2"/>
        <v>1</v>
      </c>
      <c r="AE39" s="210" t="str">
        <f t="shared" si="3"/>
        <v>-</v>
      </c>
      <c r="AF39" s="208" t="str">
        <f t="shared" si="4"/>
        <v>-</v>
      </c>
      <c r="AG39" s="208" t="str">
        <f t="shared" si="5"/>
        <v>-</v>
      </c>
      <c r="AH39" s="208" t="str">
        <f t="shared" si="6"/>
        <v>-</v>
      </c>
      <c r="AI39" s="208" t="str">
        <f t="shared" si="7"/>
        <v>-</v>
      </c>
      <c r="AJ39" s="208" t="str">
        <f t="shared" si="8"/>
        <v>-</v>
      </c>
      <c r="AK39" s="208" t="str">
        <f t="shared" si="9"/>
        <v>-</v>
      </c>
      <c r="AL39" s="208" t="str">
        <f t="shared" si="10"/>
        <v>-</v>
      </c>
      <c r="AM39" s="208" t="str">
        <f t="shared" si="11"/>
        <v>-</v>
      </c>
      <c r="AN39" s="208" t="str">
        <f t="shared" si="12"/>
        <v>-</v>
      </c>
      <c r="AO39" s="209" t="str">
        <f t="shared" si="13"/>
        <v>-</v>
      </c>
      <c r="AP39" s="209" t="str">
        <f t="shared" si="14"/>
        <v>-</v>
      </c>
      <c r="AQ39" s="209" t="str">
        <f t="shared" si="15"/>
        <v>-</v>
      </c>
      <c r="AR39" s="211" t="str">
        <f t="shared" si="16"/>
        <v>-</v>
      </c>
    </row>
    <row r="40" spans="2:44" s="9" customFormat="1">
      <c r="B40" s="499"/>
      <c r="C40" s="529"/>
      <c r="D40" s="36"/>
      <c r="E40" s="36"/>
      <c r="F40" s="36"/>
      <c r="G40" s="35"/>
      <c r="H40" s="35"/>
      <c r="I40" s="35"/>
      <c r="J40" s="35"/>
      <c r="K40" s="35"/>
      <c r="L40" s="524"/>
      <c r="M40" s="519">
        <f t="shared" si="0"/>
        <v>0</v>
      </c>
      <c r="O40" s="954"/>
      <c r="P40" s="955"/>
      <c r="Q40" s="955"/>
      <c r="R40" s="955"/>
      <c r="S40" s="955"/>
      <c r="T40" s="955"/>
      <c r="U40" s="955"/>
      <c r="V40" s="992"/>
      <c r="W40" s="992"/>
      <c r="X40" s="992"/>
      <c r="Y40" s="990"/>
      <c r="Z40" s="990"/>
      <c r="AA40" s="990"/>
      <c r="AB40" s="991"/>
      <c r="AC40" s="959">
        <f t="shared" si="2"/>
        <v>1</v>
      </c>
      <c r="AE40" s="210" t="str">
        <f t="shared" si="3"/>
        <v>-</v>
      </c>
      <c r="AF40" s="208" t="str">
        <f t="shared" si="4"/>
        <v>-</v>
      </c>
      <c r="AG40" s="208" t="str">
        <f t="shared" si="5"/>
        <v>-</v>
      </c>
      <c r="AH40" s="208" t="str">
        <f t="shared" si="6"/>
        <v>-</v>
      </c>
      <c r="AI40" s="208" t="str">
        <f t="shared" si="7"/>
        <v>-</v>
      </c>
      <c r="AJ40" s="208" t="str">
        <f t="shared" si="8"/>
        <v>-</v>
      </c>
      <c r="AK40" s="208" t="str">
        <f t="shared" si="9"/>
        <v>-</v>
      </c>
      <c r="AL40" s="208" t="str">
        <f t="shared" si="10"/>
        <v>-</v>
      </c>
      <c r="AM40" s="208" t="str">
        <f t="shared" si="11"/>
        <v>-</v>
      </c>
      <c r="AN40" s="208" t="str">
        <f t="shared" si="12"/>
        <v>-</v>
      </c>
      <c r="AO40" s="209" t="str">
        <f t="shared" si="13"/>
        <v>-</v>
      </c>
      <c r="AP40" s="209" t="str">
        <f t="shared" si="14"/>
        <v>-</v>
      </c>
      <c r="AQ40" s="209" t="str">
        <f t="shared" si="15"/>
        <v>-</v>
      </c>
      <c r="AR40" s="211" t="str">
        <f t="shared" si="16"/>
        <v>-</v>
      </c>
    </row>
    <row r="41" spans="2:44" s="9" customFormat="1">
      <c r="B41" s="499"/>
      <c r="C41" s="529"/>
      <c r="D41" s="36"/>
      <c r="E41" s="36"/>
      <c r="F41" s="36"/>
      <c r="G41" s="35"/>
      <c r="H41" s="35"/>
      <c r="I41" s="35"/>
      <c r="J41" s="35"/>
      <c r="K41" s="35"/>
      <c r="L41" s="524"/>
      <c r="M41" s="519">
        <f t="shared" si="0"/>
        <v>0</v>
      </c>
      <c r="O41" s="954"/>
      <c r="P41" s="955"/>
      <c r="Q41" s="955"/>
      <c r="R41" s="955"/>
      <c r="S41" s="955"/>
      <c r="T41" s="955"/>
      <c r="U41" s="955"/>
      <c r="V41" s="992"/>
      <c r="W41" s="992"/>
      <c r="X41" s="992"/>
      <c r="Y41" s="990"/>
      <c r="Z41" s="990"/>
      <c r="AA41" s="990"/>
      <c r="AB41" s="991"/>
      <c r="AC41" s="959">
        <f t="shared" si="2"/>
        <v>1</v>
      </c>
      <c r="AE41" s="210" t="str">
        <f t="shared" si="3"/>
        <v>-</v>
      </c>
      <c r="AF41" s="208" t="str">
        <f t="shared" si="4"/>
        <v>-</v>
      </c>
      <c r="AG41" s="208" t="str">
        <f t="shared" si="5"/>
        <v>-</v>
      </c>
      <c r="AH41" s="208" t="str">
        <f t="shared" si="6"/>
        <v>-</v>
      </c>
      <c r="AI41" s="208" t="str">
        <f t="shared" si="7"/>
        <v>-</v>
      </c>
      <c r="AJ41" s="208" t="str">
        <f t="shared" si="8"/>
        <v>-</v>
      </c>
      <c r="AK41" s="208" t="str">
        <f t="shared" si="9"/>
        <v>-</v>
      </c>
      <c r="AL41" s="208" t="str">
        <f t="shared" si="10"/>
        <v>-</v>
      </c>
      <c r="AM41" s="208" t="str">
        <f t="shared" si="11"/>
        <v>-</v>
      </c>
      <c r="AN41" s="208" t="str">
        <f t="shared" si="12"/>
        <v>-</v>
      </c>
      <c r="AO41" s="209" t="str">
        <f t="shared" si="13"/>
        <v>-</v>
      </c>
      <c r="AP41" s="209" t="str">
        <f t="shared" si="14"/>
        <v>-</v>
      </c>
      <c r="AQ41" s="209" t="str">
        <f t="shared" si="15"/>
        <v>-</v>
      </c>
      <c r="AR41" s="211" t="str">
        <f t="shared" si="16"/>
        <v>-</v>
      </c>
    </row>
    <row r="42" spans="2:44" s="9" customFormat="1">
      <c r="B42" s="499"/>
      <c r="C42" s="529"/>
      <c r="D42" s="36"/>
      <c r="E42" s="36"/>
      <c r="F42" s="36"/>
      <c r="G42" s="35"/>
      <c r="H42" s="35"/>
      <c r="I42" s="35"/>
      <c r="J42" s="35"/>
      <c r="K42" s="35"/>
      <c r="L42" s="524"/>
      <c r="M42" s="519">
        <f t="shared" si="0"/>
        <v>0</v>
      </c>
      <c r="O42" s="954"/>
      <c r="P42" s="955"/>
      <c r="Q42" s="955"/>
      <c r="R42" s="955"/>
      <c r="S42" s="955"/>
      <c r="T42" s="955"/>
      <c r="U42" s="955"/>
      <c r="V42" s="992"/>
      <c r="W42" s="992"/>
      <c r="X42" s="992"/>
      <c r="Y42" s="990"/>
      <c r="Z42" s="990"/>
      <c r="AA42" s="990"/>
      <c r="AB42" s="991"/>
      <c r="AC42" s="959">
        <f t="shared" si="2"/>
        <v>1</v>
      </c>
      <c r="AE42" s="210" t="str">
        <f t="shared" si="3"/>
        <v>-</v>
      </c>
      <c r="AF42" s="208" t="str">
        <f t="shared" si="4"/>
        <v>-</v>
      </c>
      <c r="AG42" s="208" t="str">
        <f t="shared" si="5"/>
        <v>-</v>
      </c>
      <c r="AH42" s="208" t="str">
        <f t="shared" si="6"/>
        <v>-</v>
      </c>
      <c r="AI42" s="208" t="str">
        <f t="shared" si="7"/>
        <v>-</v>
      </c>
      <c r="AJ42" s="208" t="str">
        <f t="shared" si="8"/>
        <v>-</v>
      </c>
      <c r="AK42" s="208" t="str">
        <f t="shared" si="9"/>
        <v>-</v>
      </c>
      <c r="AL42" s="208" t="str">
        <f t="shared" si="10"/>
        <v>-</v>
      </c>
      <c r="AM42" s="208" t="str">
        <f t="shared" si="11"/>
        <v>-</v>
      </c>
      <c r="AN42" s="208" t="str">
        <f t="shared" si="12"/>
        <v>-</v>
      </c>
      <c r="AO42" s="209" t="str">
        <f t="shared" si="13"/>
        <v>-</v>
      </c>
      <c r="AP42" s="209" t="str">
        <f t="shared" si="14"/>
        <v>-</v>
      </c>
      <c r="AQ42" s="209" t="str">
        <f t="shared" si="15"/>
        <v>-</v>
      </c>
      <c r="AR42" s="211" t="str">
        <f t="shared" si="16"/>
        <v>-</v>
      </c>
    </row>
    <row r="43" spans="2:44" s="9" customFormat="1">
      <c r="B43" s="499"/>
      <c r="C43" s="529"/>
      <c r="D43" s="36"/>
      <c r="E43" s="36"/>
      <c r="F43" s="36"/>
      <c r="G43" s="35"/>
      <c r="H43" s="35"/>
      <c r="I43" s="35"/>
      <c r="J43" s="35"/>
      <c r="K43" s="35"/>
      <c r="L43" s="524"/>
      <c r="M43" s="519">
        <f t="shared" si="0"/>
        <v>0</v>
      </c>
      <c r="O43" s="954"/>
      <c r="P43" s="955"/>
      <c r="Q43" s="955"/>
      <c r="R43" s="955"/>
      <c r="S43" s="955"/>
      <c r="T43" s="955"/>
      <c r="U43" s="955"/>
      <c r="V43" s="992"/>
      <c r="W43" s="992"/>
      <c r="X43" s="992"/>
      <c r="Y43" s="990"/>
      <c r="Z43" s="990"/>
      <c r="AA43" s="990"/>
      <c r="AB43" s="991"/>
      <c r="AC43" s="959">
        <f t="shared" si="2"/>
        <v>1</v>
      </c>
      <c r="AE43" s="210" t="str">
        <f t="shared" si="3"/>
        <v>-</v>
      </c>
      <c r="AF43" s="208" t="str">
        <f t="shared" si="4"/>
        <v>-</v>
      </c>
      <c r="AG43" s="208" t="str">
        <f t="shared" si="5"/>
        <v>-</v>
      </c>
      <c r="AH43" s="208" t="str">
        <f t="shared" si="6"/>
        <v>-</v>
      </c>
      <c r="AI43" s="208" t="str">
        <f t="shared" si="7"/>
        <v>-</v>
      </c>
      <c r="AJ43" s="208" t="str">
        <f t="shared" si="8"/>
        <v>-</v>
      </c>
      <c r="AK43" s="208" t="str">
        <f t="shared" si="9"/>
        <v>-</v>
      </c>
      <c r="AL43" s="208" t="str">
        <f t="shared" si="10"/>
        <v>-</v>
      </c>
      <c r="AM43" s="208" t="str">
        <f t="shared" si="11"/>
        <v>-</v>
      </c>
      <c r="AN43" s="208" t="str">
        <f t="shared" si="12"/>
        <v>-</v>
      </c>
      <c r="AO43" s="209" t="str">
        <f t="shared" si="13"/>
        <v>-</v>
      </c>
      <c r="AP43" s="209" t="str">
        <f t="shared" si="14"/>
        <v>-</v>
      </c>
      <c r="AQ43" s="209" t="str">
        <f t="shared" si="15"/>
        <v>-</v>
      </c>
      <c r="AR43" s="211" t="str">
        <f t="shared" si="16"/>
        <v>-</v>
      </c>
    </row>
    <row r="44" spans="2:44" s="9" customFormat="1">
      <c r="B44" s="499"/>
      <c r="C44" s="529"/>
      <c r="D44" s="36"/>
      <c r="E44" s="36"/>
      <c r="F44" s="36"/>
      <c r="G44" s="35"/>
      <c r="H44" s="35"/>
      <c r="I44" s="35"/>
      <c r="J44" s="35"/>
      <c r="K44" s="35"/>
      <c r="L44" s="524"/>
      <c r="M44" s="519">
        <f t="shared" si="0"/>
        <v>0</v>
      </c>
      <c r="O44" s="954"/>
      <c r="P44" s="955"/>
      <c r="Q44" s="955"/>
      <c r="R44" s="955"/>
      <c r="S44" s="955"/>
      <c r="T44" s="955"/>
      <c r="U44" s="955"/>
      <c r="V44" s="992"/>
      <c r="W44" s="992"/>
      <c r="X44" s="992"/>
      <c r="Y44" s="990"/>
      <c r="Z44" s="990"/>
      <c r="AA44" s="990"/>
      <c r="AB44" s="991"/>
      <c r="AC44" s="959">
        <f t="shared" si="2"/>
        <v>1</v>
      </c>
      <c r="AE44" s="210" t="str">
        <f t="shared" si="3"/>
        <v>-</v>
      </c>
      <c r="AF44" s="208" t="str">
        <f t="shared" si="4"/>
        <v>-</v>
      </c>
      <c r="AG44" s="208" t="str">
        <f t="shared" si="5"/>
        <v>-</v>
      </c>
      <c r="AH44" s="208" t="str">
        <f t="shared" si="6"/>
        <v>-</v>
      </c>
      <c r="AI44" s="208" t="str">
        <f t="shared" si="7"/>
        <v>-</v>
      </c>
      <c r="AJ44" s="208" t="str">
        <f t="shared" si="8"/>
        <v>-</v>
      </c>
      <c r="AK44" s="208" t="str">
        <f t="shared" si="9"/>
        <v>-</v>
      </c>
      <c r="AL44" s="208" t="str">
        <f t="shared" si="10"/>
        <v>-</v>
      </c>
      <c r="AM44" s="208" t="str">
        <f t="shared" si="11"/>
        <v>-</v>
      </c>
      <c r="AN44" s="208" t="str">
        <f t="shared" si="12"/>
        <v>-</v>
      </c>
      <c r="AO44" s="209" t="str">
        <f t="shared" si="13"/>
        <v>-</v>
      </c>
      <c r="AP44" s="209" t="str">
        <f t="shared" si="14"/>
        <v>-</v>
      </c>
      <c r="AQ44" s="209" t="str">
        <f t="shared" si="15"/>
        <v>-</v>
      </c>
      <c r="AR44" s="211" t="str">
        <f t="shared" si="16"/>
        <v>-</v>
      </c>
    </row>
    <row r="45" spans="2:44" s="9" customFormat="1">
      <c r="B45" s="499"/>
      <c r="C45" s="529"/>
      <c r="D45" s="36"/>
      <c r="E45" s="36"/>
      <c r="F45" s="36"/>
      <c r="G45" s="35"/>
      <c r="H45" s="35"/>
      <c r="I45" s="35"/>
      <c r="J45" s="35"/>
      <c r="K45" s="35"/>
      <c r="L45" s="524"/>
      <c r="M45" s="519">
        <f t="shared" si="0"/>
        <v>0</v>
      </c>
      <c r="O45" s="954"/>
      <c r="P45" s="955"/>
      <c r="Q45" s="955"/>
      <c r="R45" s="955"/>
      <c r="S45" s="955"/>
      <c r="T45" s="955"/>
      <c r="U45" s="955"/>
      <c r="V45" s="992"/>
      <c r="W45" s="992"/>
      <c r="X45" s="992"/>
      <c r="Y45" s="990"/>
      <c r="Z45" s="990"/>
      <c r="AA45" s="990"/>
      <c r="AB45" s="991"/>
      <c r="AC45" s="959">
        <f t="shared" si="2"/>
        <v>1</v>
      </c>
      <c r="AE45" s="210" t="str">
        <f t="shared" si="3"/>
        <v>-</v>
      </c>
      <c r="AF45" s="208" t="str">
        <f t="shared" si="4"/>
        <v>-</v>
      </c>
      <c r="AG45" s="208" t="str">
        <f t="shared" si="5"/>
        <v>-</v>
      </c>
      <c r="AH45" s="208" t="str">
        <f t="shared" si="6"/>
        <v>-</v>
      </c>
      <c r="AI45" s="208" t="str">
        <f t="shared" si="7"/>
        <v>-</v>
      </c>
      <c r="AJ45" s="208" t="str">
        <f t="shared" si="8"/>
        <v>-</v>
      </c>
      <c r="AK45" s="208" t="str">
        <f t="shared" si="9"/>
        <v>-</v>
      </c>
      <c r="AL45" s="208" t="str">
        <f t="shared" si="10"/>
        <v>-</v>
      </c>
      <c r="AM45" s="208" t="str">
        <f t="shared" si="11"/>
        <v>-</v>
      </c>
      <c r="AN45" s="208" t="str">
        <f t="shared" si="12"/>
        <v>-</v>
      </c>
      <c r="AO45" s="209" t="str">
        <f t="shared" si="13"/>
        <v>-</v>
      </c>
      <c r="AP45" s="209" t="str">
        <f t="shared" si="14"/>
        <v>-</v>
      </c>
      <c r="AQ45" s="209" t="str">
        <f t="shared" si="15"/>
        <v>-</v>
      </c>
      <c r="AR45" s="211" t="str">
        <f t="shared" si="16"/>
        <v>-</v>
      </c>
    </row>
    <row r="46" spans="2:44" s="9" customFormat="1">
      <c r="B46" s="499"/>
      <c r="C46" s="529"/>
      <c r="D46" s="36"/>
      <c r="E46" s="36"/>
      <c r="F46" s="36"/>
      <c r="G46" s="35"/>
      <c r="H46" s="35"/>
      <c r="I46" s="35"/>
      <c r="J46" s="35"/>
      <c r="K46" s="35"/>
      <c r="L46" s="524"/>
      <c r="M46" s="519">
        <f t="shared" si="0"/>
        <v>0</v>
      </c>
      <c r="O46" s="954"/>
      <c r="P46" s="955"/>
      <c r="Q46" s="955"/>
      <c r="R46" s="955"/>
      <c r="S46" s="955"/>
      <c r="T46" s="955"/>
      <c r="U46" s="955"/>
      <c r="V46" s="992"/>
      <c r="W46" s="992"/>
      <c r="X46" s="992"/>
      <c r="Y46" s="990"/>
      <c r="Z46" s="990"/>
      <c r="AA46" s="990"/>
      <c r="AB46" s="991"/>
      <c r="AC46" s="959">
        <f t="shared" si="2"/>
        <v>1</v>
      </c>
      <c r="AE46" s="210" t="str">
        <f t="shared" si="3"/>
        <v>-</v>
      </c>
      <c r="AF46" s="208" t="str">
        <f t="shared" si="4"/>
        <v>-</v>
      </c>
      <c r="AG46" s="208" t="str">
        <f t="shared" si="5"/>
        <v>-</v>
      </c>
      <c r="AH46" s="208" t="str">
        <f t="shared" si="6"/>
        <v>-</v>
      </c>
      <c r="AI46" s="208" t="str">
        <f t="shared" si="7"/>
        <v>-</v>
      </c>
      <c r="AJ46" s="208" t="str">
        <f t="shared" si="8"/>
        <v>-</v>
      </c>
      <c r="AK46" s="208" t="str">
        <f t="shared" si="9"/>
        <v>-</v>
      </c>
      <c r="AL46" s="208" t="str">
        <f t="shared" si="10"/>
        <v>-</v>
      </c>
      <c r="AM46" s="208" t="str">
        <f t="shared" si="11"/>
        <v>-</v>
      </c>
      <c r="AN46" s="208" t="str">
        <f t="shared" si="12"/>
        <v>-</v>
      </c>
      <c r="AO46" s="209" t="str">
        <f t="shared" si="13"/>
        <v>-</v>
      </c>
      <c r="AP46" s="209" t="str">
        <f t="shared" si="14"/>
        <v>-</v>
      </c>
      <c r="AQ46" s="209" t="str">
        <f t="shared" si="15"/>
        <v>-</v>
      </c>
      <c r="AR46" s="211" t="str">
        <f t="shared" si="16"/>
        <v>-</v>
      </c>
    </row>
    <row r="47" spans="2:44" s="9" customFormat="1">
      <c r="B47" s="499"/>
      <c r="C47" s="529"/>
      <c r="D47" s="36"/>
      <c r="E47" s="36"/>
      <c r="F47" s="36"/>
      <c r="G47" s="35"/>
      <c r="H47" s="35"/>
      <c r="I47" s="35"/>
      <c r="J47" s="35"/>
      <c r="K47" s="35"/>
      <c r="L47" s="524"/>
      <c r="M47" s="519">
        <f t="shared" si="0"/>
        <v>0</v>
      </c>
      <c r="O47" s="954"/>
      <c r="P47" s="955"/>
      <c r="Q47" s="955"/>
      <c r="R47" s="955"/>
      <c r="S47" s="955"/>
      <c r="T47" s="955"/>
      <c r="U47" s="955"/>
      <c r="V47" s="992"/>
      <c r="W47" s="992"/>
      <c r="X47" s="992"/>
      <c r="Y47" s="990"/>
      <c r="Z47" s="990"/>
      <c r="AA47" s="990"/>
      <c r="AB47" s="991"/>
      <c r="AC47" s="959">
        <f t="shared" si="2"/>
        <v>1</v>
      </c>
      <c r="AE47" s="210" t="str">
        <f t="shared" si="3"/>
        <v>-</v>
      </c>
      <c r="AF47" s="208" t="str">
        <f t="shared" si="4"/>
        <v>-</v>
      </c>
      <c r="AG47" s="208" t="str">
        <f t="shared" si="5"/>
        <v>-</v>
      </c>
      <c r="AH47" s="208" t="str">
        <f t="shared" si="6"/>
        <v>-</v>
      </c>
      <c r="AI47" s="208" t="str">
        <f t="shared" si="7"/>
        <v>-</v>
      </c>
      <c r="AJ47" s="208" t="str">
        <f t="shared" si="8"/>
        <v>-</v>
      </c>
      <c r="AK47" s="208" t="str">
        <f t="shared" si="9"/>
        <v>-</v>
      </c>
      <c r="AL47" s="208" t="str">
        <f t="shared" si="10"/>
        <v>-</v>
      </c>
      <c r="AM47" s="208" t="str">
        <f t="shared" si="11"/>
        <v>-</v>
      </c>
      <c r="AN47" s="208" t="str">
        <f t="shared" si="12"/>
        <v>-</v>
      </c>
      <c r="AO47" s="209" t="str">
        <f t="shared" si="13"/>
        <v>-</v>
      </c>
      <c r="AP47" s="209" t="str">
        <f t="shared" si="14"/>
        <v>-</v>
      </c>
      <c r="AQ47" s="209" t="str">
        <f t="shared" si="15"/>
        <v>-</v>
      </c>
      <c r="AR47" s="211" t="str">
        <f t="shared" si="16"/>
        <v>-</v>
      </c>
    </row>
    <row r="48" spans="2:44" s="9" customFormat="1">
      <c r="B48" s="499"/>
      <c r="C48" s="529"/>
      <c r="D48" s="36"/>
      <c r="E48" s="36"/>
      <c r="F48" s="36"/>
      <c r="G48" s="35"/>
      <c r="H48" s="35"/>
      <c r="I48" s="35"/>
      <c r="J48" s="35"/>
      <c r="K48" s="35"/>
      <c r="L48" s="524"/>
      <c r="M48" s="519">
        <f t="shared" si="0"/>
        <v>0</v>
      </c>
      <c r="O48" s="954"/>
      <c r="P48" s="955"/>
      <c r="Q48" s="955"/>
      <c r="R48" s="955"/>
      <c r="S48" s="955"/>
      <c r="T48" s="955"/>
      <c r="U48" s="955"/>
      <c r="V48" s="992"/>
      <c r="W48" s="992"/>
      <c r="X48" s="992"/>
      <c r="Y48" s="990"/>
      <c r="Z48" s="990"/>
      <c r="AA48" s="990"/>
      <c r="AB48" s="991"/>
      <c r="AC48" s="959">
        <f t="shared" si="2"/>
        <v>1</v>
      </c>
      <c r="AE48" s="210" t="str">
        <f t="shared" si="3"/>
        <v>-</v>
      </c>
      <c r="AF48" s="208" t="str">
        <f t="shared" si="4"/>
        <v>-</v>
      </c>
      <c r="AG48" s="208" t="str">
        <f t="shared" si="5"/>
        <v>-</v>
      </c>
      <c r="AH48" s="208" t="str">
        <f t="shared" si="6"/>
        <v>-</v>
      </c>
      <c r="AI48" s="208" t="str">
        <f t="shared" si="7"/>
        <v>-</v>
      </c>
      <c r="AJ48" s="208" t="str">
        <f t="shared" si="8"/>
        <v>-</v>
      </c>
      <c r="AK48" s="208" t="str">
        <f t="shared" si="9"/>
        <v>-</v>
      </c>
      <c r="AL48" s="208" t="str">
        <f t="shared" si="10"/>
        <v>-</v>
      </c>
      <c r="AM48" s="208" t="str">
        <f t="shared" si="11"/>
        <v>-</v>
      </c>
      <c r="AN48" s="208" t="str">
        <f t="shared" si="12"/>
        <v>-</v>
      </c>
      <c r="AO48" s="209" t="str">
        <f t="shared" si="13"/>
        <v>-</v>
      </c>
      <c r="AP48" s="209" t="str">
        <f t="shared" si="14"/>
        <v>-</v>
      </c>
      <c r="AQ48" s="209" t="str">
        <f t="shared" si="15"/>
        <v>-</v>
      </c>
      <c r="AR48" s="211" t="str">
        <f t="shared" si="16"/>
        <v>-</v>
      </c>
    </row>
    <row r="49" spans="2:44" s="9" customFormat="1" ht="15.75" thickBot="1">
      <c r="B49" s="500"/>
      <c r="C49" s="530"/>
      <c r="D49" s="281"/>
      <c r="E49" s="281"/>
      <c r="F49" s="281"/>
      <c r="G49" s="280"/>
      <c r="H49" s="280"/>
      <c r="I49" s="280"/>
      <c r="J49" s="280"/>
      <c r="K49" s="280"/>
      <c r="L49" s="525"/>
      <c r="M49" s="520">
        <f t="shared" si="0"/>
        <v>0</v>
      </c>
      <c r="O49" s="956"/>
      <c r="P49" s="957"/>
      <c r="Q49" s="957"/>
      <c r="R49" s="957"/>
      <c r="S49" s="957"/>
      <c r="T49" s="957"/>
      <c r="U49" s="957"/>
      <c r="V49" s="993"/>
      <c r="W49" s="993"/>
      <c r="X49" s="993"/>
      <c r="Y49" s="994"/>
      <c r="Z49" s="994"/>
      <c r="AA49" s="994"/>
      <c r="AB49" s="995"/>
      <c r="AC49" s="960">
        <f t="shared" si="2"/>
        <v>1</v>
      </c>
      <c r="AE49" s="287" t="str">
        <f t="shared" si="3"/>
        <v>-</v>
      </c>
      <c r="AF49" s="288" t="str">
        <f t="shared" si="4"/>
        <v>-</v>
      </c>
      <c r="AG49" s="288" t="str">
        <f t="shared" si="5"/>
        <v>-</v>
      </c>
      <c r="AH49" s="288" t="str">
        <f t="shared" si="6"/>
        <v>-</v>
      </c>
      <c r="AI49" s="288" t="str">
        <f t="shared" si="7"/>
        <v>-</v>
      </c>
      <c r="AJ49" s="288" t="str">
        <f t="shared" si="8"/>
        <v>-</v>
      </c>
      <c r="AK49" s="288" t="str">
        <f t="shared" si="9"/>
        <v>-</v>
      </c>
      <c r="AL49" s="288" t="str">
        <f t="shared" si="10"/>
        <v>-</v>
      </c>
      <c r="AM49" s="288" t="str">
        <f t="shared" si="11"/>
        <v>-</v>
      </c>
      <c r="AN49" s="288" t="str">
        <f t="shared" si="12"/>
        <v>-</v>
      </c>
      <c r="AO49" s="289" t="str">
        <f t="shared" si="13"/>
        <v>-</v>
      </c>
      <c r="AP49" s="289" t="str">
        <f t="shared" si="14"/>
        <v>-</v>
      </c>
      <c r="AQ49" s="289" t="str">
        <f t="shared" si="15"/>
        <v>-</v>
      </c>
      <c r="AR49" s="290" t="str">
        <f t="shared" si="16"/>
        <v>-</v>
      </c>
    </row>
    <row r="50" spans="2:44" s="9" customFormat="1" ht="15.75" thickBot="1">
      <c r="D50" s="282">
        <f t="shared" ref="D50:L50" si="17">SUM(D10:D49)</f>
        <v>0</v>
      </c>
      <c r="E50" s="282">
        <f t="shared" si="17"/>
        <v>0</v>
      </c>
      <c r="F50" s="282">
        <f t="shared" si="17"/>
        <v>0</v>
      </c>
      <c r="G50" s="282">
        <f t="shared" si="17"/>
        <v>0</v>
      </c>
      <c r="H50" s="282">
        <f t="shared" si="17"/>
        <v>0</v>
      </c>
      <c r="I50" s="282">
        <f t="shared" si="17"/>
        <v>0</v>
      </c>
      <c r="J50" s="282">
        <f t="shared" si="17"/>
        <v>0</v>
      </c>
      <c r="K50" s="282">
        <f t="shared" si="17"/>
        <v>0</v>
      </c>
      <c r="L50" s="282">
        <f t="shared" si="17"/>
        <v>0</v>
      </c>
      <c r="M50" s="521">
        <f>SUM(M10:M49)-SUM(D50:L50)</f>
        <v>0</v>
      </c>
      <c r="O50" s="37"/>
      <c r="P50" s="37"/>
      <c r="Q50" s="37"/>
      <c r="R50" s="37"/>
      <c r="S50" s="37"/>
      <c r="T50" s="37"/>
      <c r="U50" s="37"/>
      <c r="V50" s="38"/>
      <c r="W50" s="38"/>
      <c r="X50" s="38"/>
      <c r="Y50" s="38"/>
      <c r="Z50" s="38"/>
      <c r="AA50" s="38"/>
      <c r="AB50" s="38"/>
      <c r="AC50" s="139"/>
      <c r="AE50" s="186">
        <f>SUM(AE10:AE49)</f>
        <v>0</v>
      </c>
      <c r="AF50" s="49">
        <f t="shared" ref="AF50:AR50" si="18">SUM(AF10:AF49)</f>
        <v>0</v>
      </c>
      <c r="AG50" s="49">
        <f t="shared" si="18"/>
        <v>0</v>
      </c>
      <c r="AH50" s="49">
        <f t="shared" si="18"/>
        <v>0</v>
      </c>
      <c r="AI50" s="49">
        <f t="shared" si="18"/>
        <v>0</v>
      </c>
      <c r="AJ50" s="49">
        <f t="shared" si="18"/>
        <v>0</v>
      </c>
      <c r="AK50" s="49">
        <f t="shared" si="18"/>
        <v>0</v>
      </c>
      <c r="AL50" s="49">
        <f t="shared" si="18"/>
        <v>0</v>
      </c>
      <c r="AM50" s="49">
        <f t="shared" si="18"/>
        <v>0</v>
      </c>
      <c r="AN50" s="49">
        <f t="shared" si="18"/>
        <v>0</v>
      </c>
      <c r="AO50" s="49">
        <f>SUM(AO10:AO49)</f>
        <v>0</v>
      </c>
      <c r="AP50" s="49">
        <f t="shared" si="18"/>
        <v>0</v>
      </c>
      <c r="AQ50" s="49">
        <f t="shared" si="18"/>
        <v>0</v>
      </c>
      <c r="AR50" s="50">
        <f t="shared" si="18"/>
        <v>0</v>
      </c>
    </row>
    <row r="51" spans="2:44" s="9" customFormat="1" ht="15.75" customHeight="1" thickTop="1">
      <c r="E51" s="42"/>
      <c r="F51" s="41"/>
      <c r="G51" s="59"/>
      <c r="H51" s="59"/>
      <c r="I51" s="59"/>
      <c r="J51" s="59"/>
      <c r="K51" s="59"/>
      <c r="L51" s="1430" t="s">
        <v>185</v>
      </c>
      <c r="M51" s="1431"/>
      <c r="N51" s="1432"/>
      <c r="O51" s="38"/>
      <c r="P51" s="38"/>
      <c r="Q51" s="38"/>
      <c r="R51" s="38"/>
      <c r="S51" s="38"/>
      <c r="T51" s="38"/>
      <c r="U51" s="38"/>
      <c r="V51" s="38"/>
      <c r="W51" s="38"/>
      <c r="X51" s="38"/>
      <c r="Y51" s="38"/>
      <c r="Z51" s="38"/>
      <c r="AA51" s="38"/>
      <c r="AB51" s="38"/>
      <c r="AC51" s="39"/>
      <c r="AE51" s="45"/>
      <c r="AF51" s="45"/>
      <c r="AG51" s="45"/>
      <c r="AH51" s="45"/>
      <c r="AI51" s="45"/>
      <c r="AJ51" s="45"/>
      <c r="AK51" s="45"/>
      <c r="AL51" s="45"/>
      <c r="AM51" s="45"/>
      <c r="AN51" s="45"/>
      <c r="AO51" s="82"/>
      <c r="AP51" s="82"/>
      <c r="AR51" s="42"/>
    </row>
    <row r="52" spans="2:44" ht="15.75">
      <c r="E52" s="7"/>
      <c r="F52" s="6"/>
      <c r="G52" s="6"/>
      <c r="H52" s="6"/>
      <c r="I52" s="6"/>
      <c r="J52" s="6"/>
      <c r="K52" s="6"/>
      <c r="L52" s="1430"/>
      <c r="M52" s="1431"/>
      <c r="N52" s="1433"/>
      <c r="AE52" s="46"/>
      <c r="AF52" s="46"/>
      <c r="AG52" s="46"/>
      <c r="AH52" s="46"/>
      <c r="AI52" s="46"/>
      <c r="AJ52" s="46"/>
      <c r="AK52" s="46"/>
      <c r="AL52" s="46"/>
      <c r="AM52" s="46"/>
      <c r="AN52" s="46"/>
      <c r="AO52" s="46"/>
      <c r="AP52" s="46"/>
      <c r="AQ52" s="5"/>
      <c r="AR52" s="5"/>
    </row>
    <row r="53" spans="2:44">
      <c r="E53" s="6"/>
      <c r="L53" s="1434"/>
      <c r="M53" s="1435"/>
      <c r="N53" s="1436"/>
      <c r="AE53" s="7"/>
      <c r="AF53" s="7"/>
      <c r="AG53" s="7"/>
      <c r="AH53" s="7"/>
      <c r="AI53" s="7"/>
      <c r="AJ53" s="7"/>
      <c r="AK53" s="7"/>
      <c r="AL53" s="7"/>
      <c r="AM53" s="7"/>
      <c r="AN53" s="7"/>
      <c r="AO53" s="7"/>
      <c r="AP53" s="7"/>
    </row>
  </sheetData>
  <mergeCells count="18">
    <mergeCell ref="B8:B9"/>
    <mergeCell ref="L51:N53"/>
    <mergeCell ref="M7:M8"/>
    <mergeCell ref="O8:AB8"/>
    <mergeCell ref="C8:C9"/>
    <mergeCell ref="AE8:AR8"/>
    <mergeCell ref="AN2:AR2"/>
    <mergeCell ref="AC8:AC9"/>
    <mergeCell ref="D7:L7"/>
    <mergeCell ref="I8:I9"/>
    <mergeCell ref="J8:J9"/>
    <mergeCell ref="K8:K9"/>
    <mergeCell ref="G8:G9"/>
    <mergeCell ref="H8:H9"/>
    <mergeCell ref="L8:L9"/>
    <mergeCell ref="D8:F8"/>
    <mergeCell ref="AN5:AO5"/>
    <mergeCell ref="O2:S2"/>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sheetPr>
    <tabColor theme="1"/>
    <pageSetUpPr fitToPage="1"/>
  </sheetPr>
  <dimension ref="A1:P32"/>
  <sheetViews>
    <sheetView workbookViewId="0">
      <pane xSplit="2" ySplit="9" topLeftCell="C10" activePane="bottomRight" state="frozen"/>
      <selection pane="topRight" activeCell="C1" sqref="C1"/>
      <selection pane="bottomLeft" activeCell="A7" sqref="A7"/>
      <selection pane="bottomRight" activeCell="G31" sqref="G31"/>
    </sheetView>
  </sheetViews>
  <sheetFormatPr defaultRowHeight="15"/>
  <cols>
    <col min="1" max="1" width="3" customWidth="1"/>
    <col min="2" max="2" width="28.7109375" customWidth="1"/>
    <col min="3" max="4" width="10.5703125" bestFit="1" customWidth="1"/>
    <col min="5" max="6" width="10.5703125" customWidth="1"/>
    <col min="7" max="7" width="11.140625" customWidth="1"/>
    <col min="8" max="11" width="10.5703125" bestFit="1" customWidth="1"/>
    <col min="12" max="13" width="11.85546875" customWidth="1"/>
    <col min="14" max="14" width="10.5703125" customWidth="1"/>
    <col min="15" max="15" width="11.85546875" customWidth="1"/>
    <col min="16" max="16" width="11.5703125" customWidth="1"/>
    <col min="17" max="17" width="11.140625" customWidth="1"/>
    <col min="18" max="20" width="12.28515625" customWidth="1"/>
    <col min="21" max="21" width="11.28515625" customWidth="1"/>
  </cols>
  <sheetData>
    <row r="1" spans="1:16" ht="19.5" thickBot="1">
      <c r="A1" s="3">
        <f>'1. KEY DATA'!C3</f>
        <v>0</v>
      </c>
      <c r="B1" s="10"/>
      <c r="C1" s="10"/>
      <c r="D1" s="10"/>
      <c r="E1" s="10"/>
      <c r="M1" s="85"/>
      <c r="O1" s="86" t="s">
        <v>90</v>
      </c>
      <c r="P1" s="87">
        <f>'1. KEY DATA'!C4</f>
        <v>0</v>
      </c>
    </row>
    <row r="2" spans="1:16" ht="18" customHeight="1">
      <c r="A2" s="3" t="s">
        <v>352</v>
      </c>
      <c r="B2" s="1"/>
      <c r="C2" s="1150">
        <f>'1. KEY DATA'!F6</f>
        <v>364</v>
      </c>
      <c r="D2" s="1150"/>
      <c r="E2" s="10"/>
      <c r="K2" s="10"/>
      <c r="L2" s="1244" t="s">
        <v>152</v>
      </c>
      <c r="M2" s="1245"/>
      <c r="N2" s="1245"/>
      <c r="O2" s="1245"/>
      <c r="P2" s="1246"/>
    </row>
    <row r="3" spans="1:16" ht="12.95" customHeight="1">
      <c r="A3" s="3"/>
      <c r="B3" s="10"/>
      <c r="C3" s="10"/>
      <c r="D3" s="10"/>
      <c r="E3" s="10"/>
      <c r="K3" s="10"/>
      <c r="L3" s="104"/>
      <c r="M3" s="114"/>
      <c r="N3" s="106" t="s">
        <v>153</v>
      </c>
      <c r="O3" s="107"/>
      <c r="P3" s="108"/>
    </row>
    <row r="4" spans="1:16" ht="12.95" customHeight="1">
      <c r="A4" s="3"/>
      <c r="B4" s="10"/>
      <c r="C4" s="10"/>
      <c r="D4" s="10"/>
      <c r="E4" s="10"/>
      <c r="K4" s="10"/>
      <c r="L4" s="105"/>
      <c r="M4" s="117"/>
      <c r="N4" s="106" t="s">
        <v>161</v>
      </c>
      <c r="O4" s="107"/>
      <c r="P4" s="108"/>
    </row>
    <row r="5" spans="1:16" ht="12.95" customHeight="1" thickBot="1">
      <c r="A5" s="3"/>
      <c r="C5" s="10"/>
      <c r="D5" s="10"/>
      <c r="E5" s="10"/>
      <c r="K5" s="10"/>
      <c r="L5" s="118"/>
      <c r="M5" s="119"/>
      <c r="N5" s="109" t="s">
        <v>154</v>
      </c>
      <c r="O5" s="110"/>
      <c r="P5" s="111"/>
    </row>
    <row r="6" spans="1:16" ht="21">
      <c r="A6" s="10"/>
      <c r="B6" s="132" t="s">
        <v>132</v>
      </c>
    </row>
    <row r="7" spans="1:16" ht="15.75" thickBot="1">
      <c r="B7" s="897" t="s">
        <v>336</v>
      </c>
    </row>
    <row r="8" spans="1:16" ht="21.75" thickBot="1">
      <c r="A8" s="2"/>
      <c r="C8" s="1468" t="s">
        <v>211</v>
      </c>
      <c r="D8" s="1469"/>
      <c r="E8" s="1469"/>
      <c r="F8" s="1469"/>
      <c r="G8" s="1469"/>
      <c r="H8" s="1469"/>
      <c r="I8" s="1469"/>
      <c r="J8" s="1469"/>
      <c r="K8" s="1469"/>
      <c r="L8" s="1469"/>
      <c r="M8" s="1469"/>
      <c r="N8" s="1469"/>
      <c r="O8" s="1469"/>
      <c r="P8" s="1470"/>
    </row>
    <row r="9" spans="1:16" ht="48" customHeight="1" thickBot="1">
      <c r="C9" s="963">
        <f>'1. KEY DATA'!$C$34</f>
        <v>0</v>
      </c>
      <c r="D9" s="964">
        <f>'1. KEY DATA'!$C$35</f>
        <v>0</v>
      </c>
      <c r="E9" s="964">
        <f>'1. KEY DATA'!$C$36</f>
        <v>0</v>
      </c>
      <c r="F9" s="964">
        <f>'1. KEY DATA'!$C$37</f>
        <v>0</v>
      </c>
      <c r="G9" s="964">
        <f>'1. KEY DATA'!$C$38</f>
        <v>0</v>
      </c>
      <c r="H9" s="964">
        <f>'1. KEY DATA'!$C$39</f>
        <v>0</v>
      </c>
      <c r="I9" s="964">
        <f>'1. KEY DATA'!$C$40</f>
        <v>0</v>
      </c>
      <c r="J9" s="964">
        <f>'1. KEY DATA'!$C$41</f>
        <v>0</v>
      </c>
      <c r="K9" s="964">
        <f>'1. KEY DATA'!$C$42</f>
        <v>0</v>
      </c>
      <c r="L9" s="964">
        <f>'1. KEY DATA'!$C$43</f>
        <v>0</v>
      </c>
      <c r="M9" s="44" t="str">
        <f>'1. KEY DATA'!C44</f>
        <v>Health Professnals</v>
      </c>
      <c r="N9" s="44" t="str">
        <f>'1. KEY DATA'!C46</f>
        <v>Accommodation</v>
      </c>
      <c r="O9" s="44" t="str">
        <f>'1. KEY DATA'!C47</f>
        <v>Commercial &amp; Fund Raising</v>
      </c>
      <c r="P9" s="532" t="s">
        <v>245</v>
      </c>
    </row>
    <row r="10" spans="1:16">
      <c r="B10" s="291" t="s">
        <v>15</v>
      </c>
      <c r="C10" s="1055"/>
      <c r="D10" s="1056"/>
      <c r="E10" s="1056"/>
      <c r="F10" s="1056"/>
      <c r="G10" s="1056"/>
      <c r="H10" s="1056"/>
      <c r="I10" s="1056"/>
      <c r="J10" s="1056"/>
      <c r="K10" s="1056"/>
      <c r="L10" s="1056"/>
      <c r="M10" s="1057"/>
      <c r="N10" s="1058"/>
      <c r="O10" s="1058"/>
      <c r="P10" s="1059"/>
    </row>
    <row r="11" spans="1:16">
      <c r="B11" s="292" t="s">
        <v>246</v>
      </c>
      <c r="C11" s="1060"/>
      <c r="D11" s="1061"/>
      <c r="E11" s="1061"/>
      <c r="F11" s="1061"/>
      <c r="G11" s="1061"/>
      <c r="H11" s="1061"/>
      <c r="I11" s="1061"/>
      <c r="J11" s="1061"/>
      <c r="K11" s="1061"/>
      <c r="L11" s="1062"/>
      <c r="M11" s="1063"/>
      <c r="N11" s="1064"/>
      <c r="O11" s="1064"/>
      <c r="P11" s="1065"/>
    </row>
    <row r="12" spans="1:16">
      <c r="B12" s="292" t="s">
        <v>103</v>
      </c>
      <c r="C12" s="1060"/>
      <c r="D12" s="1061"/>
      <c r="E12" s="1061"/>
      <c r="F12" s="1061"/>
      <c r="G12" s="1061"/>
      <c r="H12" s="1061"/>
      <c r="I12" s="1061"/>
      <c r="J12" s="1061"/>
      <c r="K12" s="1061"/>
      <c r="L12" s="1062"/>
      <c r="M12" s="1063"/>
      <c r="N12" s="1064"/>
      <c r="O12" s="1064"/>
      <c r="P12" s="1065"/>
    </row>
    <row r="13" spans="1:16">
      <c r="B13" s="292" t="s">
        <v>100</v>
      </c>
      <c r="C13" s="1060"/>
      <c r="D13" s="1061"/>
      <c r="E13" s="1061"/>
      <c r="F13" s="1061"/>
      <c r="G13" s="1061"/>
      <c r="H13" s="1061"/>
      <c r="I13" s="1061"/>
      <c r="J13" s="1061"/>
      <c r="K13" s="1061"/>
      <c r="L13" s="1062"/>
      <c r="M13" s="1063"/>
      <c r="N13" s="1064"/>
      <c r="O13" s="1064"/>
      <c r="P13" s="1065"/>
    </row>
    <row r="14" spans="1:16">
      <c r="B14" s="292" t="s">
        <v>101</v>
      </c>
      <c r="C14" s="1060"/>
      <c r="D14" s="1061"/>
      <c r="E14" s="1061"/>
      <c r="F14" s="1061"/>
      <c r="G14" s="1061"/>
      <c r="H14" s="1061"/>
      <c r="I14" s="1061"/>
      <c r="J14" s="1061"/>
      <c r="K14" s="1061"/>
      <c r="L14" s="1062"/>
      <c r="M14" s="1063"/>
      <c r="N14" s="1064"/>
      <c r="O14" s="1064"/>
      <c r="P14" s="1065"/>
    </row>
    <row r="15" spans="1:16">
      <c r="B15" s="292" t="s">
        <v>102</v>
      </c>
      <c r="C15" s="1060"/>
      <c r="D15" s="1061"/>
      <c r="E15" s="1061"/>
      <c r="F15" s="1061"/>
      <c r="G15" s="1061"/>
      <c r="H15" s="1061"/>
      <c r="I15" s="1061"/>
      <c r="J15" s="1061"/>
      <c r="K15" s="1061"/>
      <c r="L15" s="1062"/>
      <c r="M15" s="1063"/>
      <c r="N15" s="1064"/>
      <c r="O15" s="1064"/>
      <c r="P15" s="1065"/>
    </row>
    <row r="16" spans="1:16">
      <c r="B16" s="292" t="s">
        <v>10</v>
      </c>
      <c r="C16" s="1060"/>
      <c r="D16" s="1061"/>
      <c r="E16" s="1061"/>
      <c r="F16" s="1061"/>
      <c r="G16" s="1061"/>
      <c r="H16" s="1061"/>
      <c r="I16" s="1061"/>
      <c r="J16" s="1061"/>
      <c r="K16" s="1061"/>
      <c r="L16" s="1062"/>
      <c r="M16" s="1063"/>
      <c r="N16" s="1064"/>
      <c r="O16" s="1064"/>
      <c r="P16" s="1065"/>
    </row>
    <row r="17" spans="2:16">
      <c r="B17" s="292" t="s">
        <v>16</v>
      </c>
      <c r="C17" s="1060"/>
      <c r="D17" s="1061"/>
      <c r="E17" s="1061"/>
      <c r="F17" s="1061"/>
      <c r="G17" s="1061"/>
      <c r="H17" s="1061"/>
      <c r="I17" s="1061"/>
      <c r="J17" s="1061"/>
      <c r="K17" s="1061"/>
      <c r="L17" s="1062"/>
      <c r="M17" s="1063"/>
      <c r="N17" s="1064"/>
      <c r="O17" s="1064"/>
      <c r="P17" s="1065"/>
    </row>
    <row r="18" spans="2:16">
      <c r="B18" s="292" t="s">
        <v>104</v>
      </c>
      <c r="C18" s="1060"/>
      <c r="D18" s="1061"/>
      <c r="E18" s="1061"/>
      <c r="F18" s="1061"/>
      <c r="G18" s="1061"/>
      <c r="H18" s="1061"/>
      <c r="I18" s="1061"/>
      <c r="J18" s="1061"/>
      <c r="K18" s="1061"/>
      <c r="L18" s="1062"/>
      <c r="M18" s="1063"/>
      <c r="N18" s="1064"/>
      <c r="O18" s="1064"/>
      <c r="P18" s="1065"/>
    </row>
    <row r="19" spans="2:16">
      <c r="B19" s="292" t="s">
        <v>111</v>
      </c>
      <c r="C19" s="1060"/>
      <c r="D19" s="1061"/>
      <c r="E19" s="1061"/>
      <c r="F19" s="1061"/>
      <c r="G19" s="1061"/>
      <c r="H19" s="1061"/>
      <c r="I19" s="1061"/>
      <c r="J19" s="1061"/>
      <c r="K19" s="1061"/>
      <c r="L19" s="1062"/>
      <c r="M19" s="1063"/>
      <c r="N19" s="1064"/>
      <c r="O19" s="1064"/>
      <c r="P19" s="1065"/>
    </row>
    <row r="20" spans="2:16">
      <c r="B20" s="292" t="s">
        <v>18</v>
      </c>
      <c r="C20" s="1060"/>
      <c r="D20" s="1061"/>
      <c r="E20" s="1061"/>
      <c r="F20" s="1061"/>
      <c r="G20" s="1061"/>
      <c r="H20" s="1061"/>
      <c r="I20" s="1061"/>
      <c r="J20" s="1061"/>
      <c r="K20" s="1061"/>
      <c r="L20" s="1062"/>
      <c r="M20" s="1063"/>
      <c r="N20" s="1064"/>
      <c r="O20" s="1064"/>
      <c r="P20" s="1065"/>
    </row>
    <row r="21" spans="2:16">
      <c r="B21" s="292" t="s">
        <v>21</v>
      </c>
      <c r="C21" s="1060"/>
      <c r="D21" s="1061"/>
      <c r="E21" s="1061"/>
      <c r="F21" s="1061"/>
      <c r="G21" s="1061"/>
      <c r="H21" s="1061"/>
      <c r="I21" s="1061"/>
      <c r="J21" s="1061"/>
      <c r="K21" s="1061"/>
      <c r="L21" s="1062"/>
      <c r="M21" s="1063"/>
      <c r="N21" s="1064"/>
      <c r="O21" s="1064"/>
      <c r="P21" s="1065"/>
    </row>
    <row r="22" spans="2:16">
      <c r="B22" s="292" t="s">
        <v>17</v>
      </c>
      <c r="C22" s="1060"/>
      <c r="D22" s="1061"/>
      <c r="E22" s="1061"/>
      <c r="F22" s="1061"/>
      <c r="G22" s="1061"/>
      <c r="H22" s="1061"/>
      <c r="I22" s="1061"/>
      <c r="J22" s="1061"/>
      <c r="K22" s="1061"/>
      <c r="L22" s="1062"/>
      <c r="M22" s="1063"/>
      <c r="N22" s="1064"/>
      <c r="O22" s="1064"/>
      <c r="P22" s="1065"/>
    </row>
    <row r="23" spans="2:16">
      <c r="B23" s="292" t="s">
        <v>105</v>
      </c>
      <c r="C23" s="1060"/>
      <c r="D23" s="1061"/>
      <c r="E23" s="1061"/>
      <c r="F23" s="1061"/>
      <c r="G23" s="1061"/>
      <c r="H23" s="1061"/>
      <c r="I23" s="1061"/>
      <c r="J23" s="1061"/>
      <c r="K23" s="1061"/>
      <c r="L23" s="1062"/>
      <c r="M23" s="1063"/>
      <c r="N23" s="1064"/>
      <c r="O23" s="1064"/>
      <c r="P23" s="1065"/>
    </row>
    <row r="24" spans="2:16">
      <c r="B24" s="292" t="s">
        <v>19</v>
      </c>
      <c r="C24" s="1060"/>
      <c r="D24" s="1061"/>
      <c r="E24" s="1061"/>
      <c r="F24" s="1061"/>
      <c r="G24" s="1061"/>
      <c r="H24" s="1061"/>
      <c r="I24" s="1061"/>
      <c r="J24" s="1061"/>
      <c r="K24" s="1061"/>
      <c r="L24" s="1062"/>
      <c r="M24" s="1063"/>
      <c r="N24" s="1064"/>
      <c r="O24" s="1064"/>
      <c r="P24" s="1065"/>
    </row>
    <row r="25" spans="2:16">
      <c r="B25" s="1179" t="s">
        <v>371</v>
      </c>
      <c r="C25" s="1060"/>
      <c r="D25" s="1061"/>
      <c r="E25" s="1061"/>
      <c r="F25" s="1061"/>
      <c r="G25" s="1061"/>
      <c r="H25" s="1061"/>
      <c r="I25" s="1061"/>
      <c r="J25" s="1061"/>
      <c r="K25" s="1061"/>
      <c r="L25" s="1062"/>
      <c r="M25" s="1063"/>
      <c r="N25" s="1064"/>
      <c r="O25" s="1064"/>
      <c r="P25" s="1065"/>
    </row>
    <row r="26" spans="2:16">
      <c r="B26" s="292"/>
      <c r="C26" s="1060"/>
      <c r="D26" s="1061"/>
      <c r="E26" s="1061"/>
      <c r="F26" s="1061"/>
      <c r="G26" s="1061"/>
      <c r="H26" s="1061"/>
      <c r="I26" s="1061"/>
      <c r="J26" s="1061"/>
      <c r="K26" s="1061"/>
      <c r="L26" s="1062"/>
      <c r="M26" s="1063"/>
      <c r="N26" s="1064"/>
      <c r="O26" s="1064"/>
      <c r="P26" s="1065"/>
    </row>
    <row r="27" spans="2:16">
      <c r="B27" s="292"/>
      <c r="C27" s="1060"/>
      <c r="D27" s="1061"/>
      <c r="E27" s="1061"/>
      <c r="F27" s="1061"/>
      <c r="G27" s="1061"/>
      <c r="H27" s="1061"/>
      <c r="I27" s="1061"/>
      <c r="J27" s="1061"/>
      <c r="K27" s="1061"/>
      <c r="L27" s="1062"/>
      <c r="M27" s="1063"/>
      <c r="N27" s="1064"/>
      <c r="O27" s="1064"/>
      <c r="P27" s="1065"/>
    </row>
    <row r="28" spans="2:16">
      <c r="B28" s="292"/>
      <c r="C28" s="1060"/>
      <c r="D28" s="1061"/>
      <c r="E28" s="1061"/>
      <c r="F28" s="1061"/>
      <c r="G28" s="1061"/>
      <c r="H28" s="1061"/>
      <c r="I28" s="1061"/>
      <c r="J28" s="1061"/>
      <c r="K28" s="1061"/>
      <c r="L28" s="1062"/>
      <c r="M28" s="1063"/>
      <c r="N28" s="1064"/>
      <c r="O28" s="1064"/>
      <c r="P28" s="1065"/>
    </row>
    <row r="29" spans="2:16">
      <c r="B29" s="292"/>
      <c r="C29" s="1060"/>
      <c r="D29" s="1061"/>
      <c r="E29" s="1061"/>
      <c r="F29" s="1061"/>
      <c r="G29" s="1061"/>
      <c r="H29" s="1061"/>
      <c r="I29" s="1061"/>
      <c r="J29" s="1061"/>
      <c r="K29" s="1061"/>
      <c r="L29" s="1062"/>
      <c r="M29" s="1063"/>
      <c r="N29" s="1064"/>
      <c r="O29" s="1064"/>
      <c r="P29" s="1065"/>
    </row>
    <row r="30" spans="2:16" ht="15.75" thickBot="1">
      <c r="B30" s="293"/>
      <c r="C30" s="1066"/>
      <c r="D30" s="1067"/>
      <c r="E30" s="1067"/>
      <c r="F30" s="1067"/>
      <c r="G30" s="1067"/>
      <c r="H30" s="1067"/>
      <c r="I30" s="1067"/>
      <c r="J30" s="1067"/>
      <c r="K30" s="1067"/>
      <c r="L30" s="1068"/>
      <c r="M30" s="1069"/>
      <c r="N30" s="1070"/>
      <c r="O30" s="1070"/>
      <c r="P30" s="1071"/>
    </row>
    <row r="31" spans="2:16" ht="15.75" thickBot="1">
      <c r="C31" s="1072">
        <f>SUM(C10:C30)</f>
        <v>0</v>
      </c>
      <c r="D31" s="1073">
        <f t="shared" ref="D31:P31" si="0">SUM(D10:D30)</f>
        <v>0</v>
      </c>
      <c r="E31" s="1073">
        <f t="shared" si="0"/>
        <v>0</v>
      </c>
      <c r="F31" s="1073">
        <f t="shared" si="0"/>
        <v>0</v>
      </c>
      <c r="G31" s="1073">
        <f t="shared" si="0"/>
        <v>0</v>
      </c>
      <c r="H31" s="1073">
        <f t="shared" si="0"/>
        <v>0</v>
      </c>
      <c r="I31" s="1073">
        <f t="shared" si="0"/>
        <v>0</v>
      </c>
      <c r="J31" s="1073">
        <f t="shared" si="0"/>
        <v>0</v>
      </c>
      <c r="K31" s="1073">
        <f t="shared" si="0"/>
        <v>0</v>
      </c>
      <c r="L31" s="1074">
        <f t="shared" si="0"/>
        <v>0</v>
      </c>
      <c r="M31" s="1075">
        <f t="shared" si="0"/>
        <v>0</v>
      </c>
      <c r="N31" s="49">
        <f t="shared" si="0"/>
        <v>0</v>
      </c>
      <c r="O31" s="49">
        <f t="shared" si="0"/>
        <v>0</v>
      </c>
      <c r="P31" s="1076">
        <f t="shared" si="0"/>
        <v>0</v>
      </c>
    </row>
    <row r="32" spans="2:16" ht="15.75" thickTop="1"/>
  </sheetData>
  <mergeCells count="2">
    <mergeCell ref="C8:P8"/>
    <mergeCell ref="L2:P2"/>
  </mergeCells>
  <pageMargins left="0.70866141732283472" right="0.70866141732283472" top="0.74803149606299213" bottom="0.74803149606299213" header="0.31496062992125984" footer="0.31496062992125984"/>
  <pageSetup paperSize="9" scale="70" orientation="landscape" horizontalDpi="4294967293" r:id="rId1"/>
</worksheet>
</file>

<file path=xl/worksheets/sheet8.xml><?xml version="1.0" encoding="utf-8"?>
<worksheet xmlns="http://schemas.openxmlformats.org/spreadsheetml/2006/main" xmlns:r="http://schemas.openxmlformats.org/officeDocument/2006/relationships">
  <sheetPr>
    <tabColor theme="1"/>
    <pageSetUpPr fitToPage="1"/>
  </sheetPr>
  <dimension ref="A1:Z46"/>
  <sheetViews>
    <sheetView workbookViewId="0">
      <pane xSplit="3" ySplit="12" topLeftCell="D13" activePane="bottomRight" state="frozen"/>
      <selection pane="topRight" activeCell="D1" sqref="D1"/>
      <selection pane="bottomLeft" activeCell="A13" sqref="A13"/>
      <selection pane="bottomRight" activeCell="A10" sqref="A10"/>
    </sheetView>
  </sheetViews>
  <sheetFormatPr defaultRowHeight="15"/>
  <cols>
    <col min="1" max="1" width="1.7109375" customWidth="1"/>
    <col min="2" max="2" width="31.140625" customWidth="1"/>
    <col min="3" max="3" width="13.5703125" customWidth="1"/>
    <col min="4" max="4" width="2.42578125" customWidth="1"/>
    <col min="5" max="5" width="28.42578125" customWidth="1"/>
    <col min="6" max="6" width="11.5703125" customWidth="1"/>
    <col min="7" max="7" width="10.42578125" customWidth="1"/>
    <col min="8" max="8" width="10.5703125" customWidth="1"/>
    <col min="9" max="9" width="10.42578125" customWidth="1"/>
    <col min="10" max="10" width="9.85546875" customWidth="1"/>
    <col min="11" max="11" width="10" customWidth="1"/>
    <col min="12" max="12" width="11.140625" customWidth="1"/>
    <col min="13" max="13" width="10.5703125" customWidth="1"/>
    <col min="14" max="14" width="10.7109375" customWidth="1"/>
    <col min="15" max="17" width="11.140625" customWidth="1"/>
    <col min="18" max="18" width="11.85546875" customWidth="1"/>
    <col min="19" max="19" width="10.7109375" customWidth="1"/>
    <col min="20" max="20" width="11.42578125" customWidth="1"/>
  </cols>
  <sheetData>
    <row r="1" spans="1:26" s="10" customFormat="1" ht="19.5" thickBot="1">
      <c r="A1" s="3">
        <f>'1. KEY DATA'!C3</f>
        <v>0</v>
      </c>
      <c r="N1" s="85"/>
      <c r="R1" s="86" t="s">
        <v>90</v>
      </c>
      <c r="S1" s="87">
        <f>'1. KEY DATA'!C4</f>
        <v>0</v>
      </c>
    </row>
    <row r="2" spans="1:26" s="10" customFormat="1" ht="18" customHeight="1">
      <c r="A2" s="3" t="s">
        <v>352</v>
      </c>
      <c r="B2" s="1"/>
      <c r="C2" s="1150">
        <f>'1. KEY DATA'!F6</f>
        <v>364</v>
      </c>
      <c r="D2" s="1150"/>
      <c r="M2"/>
      <c r="N2"/>
      <c r="O2" s="1244" t="s">
        <v>152</v>
      </c>
      <c r="P2" s="1245"/>
      <c r="Q2" s="1245"/>
      <c r="R2" s="1245"/>
      <c r="S2" s="1246"/>
    </row>
    <row r="3" spans="1:26" s="10" customFormat="1" ht="14.1" customHeight="1">
      <c r="A3" s="3"/>
      <c r="M3"/>
      <c r="N3"/>
      <c r="O3" s="104"/>
      <c r="P3" s="114"/>
      <c r="Q3" s="106" t="s">
        <v>153</v>
      </c>
      <c r="R3" s="107"/>
      <c r="S3" s="108"/>
    </row>
    <row r="4" spans="1:26" s="10" customFormat="1" ht="14.1" customHeight="1">
      <c r="A4" s="3"/>
      <c r="M4"/>
      <c r="N4"/>
      <c r="O4" s="105"/>
      <c r="P4" s="117"/>
      <c r="Q4" s="106" t="s">
        <v>161</v>
      </c>
      <c r="R4" s="107"/>
      <c r="S4" s="108"/>
    </row>
    <row r="5" spans="1:26" s="10" customFormat="1" ht="14.1" customHeight="1" thickBot="1">
      <c r="A5" s="3"/>
      <c r="M5"/>
      <c r="N5"/>
      <c r="O5" s="118"/>
      <c r="P5" s="119"/>
      <c r="Q5" s="109" t="s">
        <v>154</v>
      </c>
      <c r="R5" s="110"/>
      <c r="S5" s="111"/>
    </row>
    <row r="6" spans="1:26" s="10" customFormat="1" ht="21.75" thickBot="1">
      <c r="A6" s="3"/>
      <c r="B6" s="1483" t="s">
        <v>335</v>
      </c>
      <c r="C6" s="1483"/>
      <c r="H6" s="58"/>
      <c r="I6" s="59"/>
      <c r="J6" s="59"/>
      <c r="K6" s="27"/>
      <c r="L6" s="58"/>
    </row>
    <row r="7" spans="1:26" s="10" customFormat="1" ht="19.5" thickBot="1">
      <c r="E7" s="48"/>
      <c r="F7" s="1468" t="s">
        <v>249</v>
      </c>
      <c r="G7" s="1469"/>
      <c r="H7" s="1469"/>
      <c r="I7" s="1469"/>
      <c r="J7" s="1469"/>
      <c r="K7" s="1469"/>
      <c r="L7" s="1469"/>
      <c r="M7" s="1469"/>
      <c r="N7" s="1469"/>
      <c r="O7" s="1469"/>
      <c r="P7" s="1469"/>
      <c r="Q7" s="1469"/>
      <c r="R7" s="1470"/>
      <c r="S7" s="9"/>
    </row>
    <row r="8" spans="1:26" s="10" customFormat="1" ht="19.5" customHeight="1">
      <c r="E8" s="513" t="s">
        <v>106</v>
      </c>
      <c r="F8" s="1422">
        <f>'1. KEY DATA'!$C$34</f>
        <v>0</v>
      </c>
      <c r="G8" s="1398">
        <f>'1. KEY DATA'!$C$35</f>
        <v>0</v>
      </c>
      <c r="H8" s="1398">
        <f>'1. KEY DATA'!$C$36</f>
        <v>0</v>
      </c>
      <c r="I8" s="1398">
        <f>'1. KEY DATA'!$C$37</f>
        <v>0</v>
      </c>
      <c r="J8" s="1398">
        <f>'1. KEY DATA'!$C$38</f>
        <v>0</v>
      </c>
      <c r="K8" s="1398">
        <f>'1. KEY DATA'!$C$39</f>
        <v>0</v>
      </c>
      <c r="L8" s="1398">
        <f>'1. KEY DATA'!$C$40</f>
        <v>0</v>
      </c>
      <c r="M8" s="1398">
        <f>'1. KEY DATA'!$C$41</f>
        <v>0</v>
      </c>
      <c r="N8" s="1398">
        <f>'1. KEY DATA'!$C$42</f>
        <v>0</v>
      </c>
      <c r="O8" s="1398">
        <f>'1. KEY DATA'!$C$43</f>
        <v>0</v>
      </c>
      <c r="P8" s="1486" t="str">
        <f>'1. KEY DATA'!C44</f>
        <v>Health Professnals</v>
      </c>
      <c r="Q8" s="1340" t="str">
        <f>'1. KEY DATA'!C46</f>
        <v>Accommodation</v>
      </c>
      <c r="R8" s="1486" t="str">
        <f>'1. KEY DATA'!C47</f>
        <v>Commercial &amp; Fund Raising</v>
      </c>
      <c r="S8" s="1484" t="s">
        <v>125</v>
      </c>
    </row>
    <row r="9" spans="1:26" s="10" customFormat="1" ht="27.75" customHeight="1" thickBot="1">
      <c r="B9" s="3"/>
      <c r="E9" s="514" t="s">
        <v>248</v>
      </c>
      <c r="F9" s="1423"/>
      <c r="G9" s="1399"/>
      <c r="H9" s="1399"/>
      <c r="I9" s="1399"/>
      <c r="J9" s="1399"/>
      <c r="K9" s="1399"/>
      <c r="L9" s="1399"/>
      <c r="M9" s="1399"/>
      <c r="N9" s="1399"/>
      <c r="O9" s="1399"/>
      <c r="P9" s="1334"/>
      <c r="Q9" s="1334"/>
      <c r="R9" s="1334"/>
      <c r="S9" s="1485"/>
    </row>
    <row r="10" spans="1:26" s="10" customFormat="1" ht="15" customHeight="1" thickBot="1">
      <c r="B10" s="3"/>
      <c r="E10" s="1176"/>
      <c r="F10" s="1184"/>
      <c r="G10" s="1185"/>
      <c r="H10" s="1185"/>
      <c r="I10" s="295"/>
      <c r="J10" s="1185"/>
      <c r="K10" s="295"/>
      <c r="L10" s="295"/>
      <c r="M10" s="296"/>
      <c r="N10" s="296"/>
      <c r="O10" s="296"/>
      <c r="P10" s="296"/>
      <c r="Q10" s="1186"/>
      <c r="R10" s="297"/>
      <c r="S10" s="73">
        <f>E10-SUM(F10:R10)</f>
        <v>0</v>
      </c>
      <c r="T10" s="1487" t="s">
        <v>187</v>
      </c>
      <c r="U10" s="1488"/>
      <c r="V10" s="1488"/>
      <c r="W10" s="1488"/>
      <c r="X10" s="1488"/>
      <c r="Y10" s="1488"/>
      <c r="Z10" s="1489"/>
    </row>
    <row r="11" spans="1:26" s="10" customFormat="1" ht="15" customHeight="1" thickBot="1">
      <c r="B11" s="1"/>
      <c r="C11" s="55" t="s">
        <v>113</v>
      </c>
      <c r="F11" s="66"/>
      <c r="G11" s="66"/>
      <c r="H11" s="66"/>
      <c r="I11" s="66"/>
      <c r="J11" s="66"/>
      <c r="K11" s="66"/>
      <c r="L11" s="66"/>
      <c r="M11" s="59"/>
      <c r="N11" s="59"/>
      <c r="O11" s="59"/>
      <c r="P11" s="59"/>
      <c r="Q11" s="59"/>
      <c r="R11" s="59"/>
      <c r="S11" s="79"/>
      <c r="T11" s="74"/>
    </row>
    <row r="12" spans="1:26" s="10" customFormat="1" ht="15" customHeight="1" thickBot="1">
      <c r="B12" s="69" t="s">
        <v>245</v>
      </c>
      <c r="C12" s="305">
        <f>SUM(C15:C46)</f>
        <v>0</v>
      </c>
      <c r="D12" s="294"/>
      <c r="E12" s="331" t="s">
        <v>247</v>
      </c>
      <c r="F12" s="534">
        <f>IF($S10=0,IF(E10=0,0,$C12/$E10*F10),"alloc error")</f>
        <v>0</v>
      </c>
      <c r="G12" s="535">
        <f t="shared" ref="G12:R12" si="0">IF($S10=0,IF(F10=0,0,$C12/$E10*G10),"alloc error")</f>
        <v>0</v>
      </c>
      <c r="H12" s="535">
        <f t="shared" si="0"/>
        <v>0</v>
      </c>
      <c r="I12" s="535">
        <f t="shared" si="0"/>
        <v>0</v>
      </c>
      <c r="J12" s="535">
        <f t="shared" si="0"/>
        <v>0</v>
      </c>
      <c r="K12" s="535">
        <f t="shared" si="0"/>
        <v>0</v>
      </c>
      <c r="L12" s="535">
        <f t="shared" si="0"/>
        <v>0</v>
      </c>
      <c r="M12" s="535">
        <f t="shared" si="0"/>
        <v>0</v>
      </c>
      <c r="N12" s="535">
        <f t="shared" si="0"/>
        <v>0</v>
      </c>
      <c r="O12" s="535">
        <f t="shared" si="0"/>
        <v>0</v>
      </c>
      <c r="P12" s="536">
        <f t="shared" si="0"/>
        <v>0</v>
      </c>
      <c r="Q12" s="536">
        <f t="shared" si="0"/>
        <v>0</v>
      </c>
      <c r="R12" s="536">
        <f t="shared" si="0"/>
        <v>0</v>
      </c>
      <c r="S12" s="533"/>
      <c r="T12" s="1490"/>
      <c r="U12" s="1490"/>
      <c r="V12" s="1490"/>
      <c r="W12" s="1490"/>
      <c r="X12" s="1490"/>
      <c r="Y12" s="1490"/>
      <c r="Z12" s="1490"/>
    </row>
    <row r="13" spans="1:26" s="10" customFormat="1" ht="15" customHeight="1" thickBot="1">
      <c r="B13" s="63"/>
      <c r="C13" s="64"/>
      <c r="D13" s="11"/>
      <c r="E13" s="65"/>
      <c r="F13" s="66"/>
      <c r="G13" s="66"/>
      <c r="H13" s="66"/>
      <c r="I13" s="66"/>
      <c r="J13" s="66"/>
      <c r="K13" s="66"/>
      <c r="L13" s="66"/>
      <c r="M13" s="59"/>
      <c r="N13" s="59"/>
      <c r="O13" s="59"/>
      <c r="P13" s="59"/>
      <c r="Q13" s="59"/>
      <c r="R13" s="59"/>
      <c r="S13" s="67"/>
      <c r="T13" s="68"/>
    </row>
    <row r="14" spans="1:26" s="10" customFormat="1" ht="15" customHeight="1" thickBot="1">
      <c r="B14" s="56" t="s">
        <v>114</v>
      </c>
      <c r="E14" s="60"/>
      <c r="F14" s="61"/>
      <c r="G14" s="61"/>
      <c r="H14" s="61"/>
      <c r="I14" s="61"/>
      <c r="J14" s="61"/>
      <c r="K14" s="61"/>
      <c r="L14" s="61"/>
      <c r="M14" s="59"/>
      <c r="N14" s="59"/>
      <c r="O14" s="59"/>
      <c r="P14" s="59"/>
      <c r="Q14" s="59"/>
      <c r="R14" s="59"/>
      <c r="S14" s="59"/>
    </row>
    <row r="15" spans="1:26" s="10" customFormat="1" ht="15" customHeight="1">
      <c r="B15" s="15" t="s">
        <v>133</v>
      </c>
      <c r="C15" s="303">
        <f>'3. Payroll'!CB67</f>
        <v>0</v>
      </c>
      <c r="E15" s="60"/>
      <c r="F15" s="61"/>
      <c r="G15" s="61"/>
      <c r="H15" s="61"/>
      <c r="I15" s="61"/>
      <c r="J15" s="61"/>
      <c r="K15" s="61"/>
      <c r="L15" s="61"/>
      <c r="M15" s="59"/>
      <c r="N15" s="59"/>
      <c r="O15" s="59"/>
      <c r="P15" s="59"/>
      <c r="Q15" s="59"/>
      <c r="R15" s="59"/>
      <c r="S15" s="59"/>
    </row>
    <row r="16" spans="1:26" s="10" customFormat="1" ht="15" customHeight="1">
      <c r="B16" s="185" t="s">
        <v>134</v>
      </c>
      <c r="C16" s="304">
        <f>'4. Property'!AW30</f>
        <v>0</v>
      </c>
      <c r="E16" s="60"/>
      <c r="F16" s="61"/>
      <c r="G16" s="61"/>
      <c r="H16" s="61"/>
      <c r="I16" s="61"/>
      <c r="J16" s="61"/>
      <c r="K16" s="61"/>
      <c r="L16" s="61"/>
      <c r="M16" s="59"/>
      <c r="N16" s="59"/>
      <c r="O16" s="59"/>
      <c r="P16" s="59"/>
      <c r="Q16" s="59"/>
      <c r="R16" s="59"/>
      <c r="S16" s="59"/>
    </row>
    <row r="17" spans="2:19" s="9" customFormat="1" ht="15" customHeight="1" thickBot="1">
      <c r="B17" s="13" t="s">
        <v>135</v>
      </c>
      <c r="C17" s="103">
        <f>'5. Transport'!AR50</f>
        <v>0</v>
      </c>
      <c r="E17" s="60"/>
      <c r="F17" s="61"/>
      <c r="G17" s="61"/>
      <c r="H17" s="61"/>
      <c r="I17" s="61"/>
      <c r="J17" s="61"/>
      <c r="K17" s="61"/>
      <c r="L17" s="61"/>
      <c r="M17" s="59"/>
      <c r="N17" s="59"/>
      <c r="O17" s="59"/>
      <c r="P17" s="59"/>
      <c r="Q17" s="59"/>
      <c r="R17" s="59"/>
      <c r="S17" s="59"/>
    </row>
    <row r="18" spans="2:19" s="9" customFormat="1" ht="15" customHeight="1" thickBot="1">
      <c r="B18" s="1"/>
      <c r="C18" s="10"/>
      <c r="E18" s="60"/>
      <c r="F18" s="61"/>
      <c r="G18" s="61"/>
      <c r="H18" s="61"/>
      <c r="I18" s="61"/>
      <c r="J18" s="61"/>
      <c r="K18" s="61"/>
      <c r="L18" s="61"/>
      <c r="M18" s="59"/>
      <c r="N18" s="59"/>
      <c r="O18" s="59"/>
      <c r="P18" s="59"/>
      <c r="Q18" s="59"/>
      <c r="R18" s="59"/>
      <c r="S18" s="59"/>
    </row>
    <row r="19" spans="2:19" s="9" customFormat="1" ht="15" customHeight="1" thickBot="1">
      <c r="B19" s="57" t="s">
        <v>115</v>
      </c>
      <c r="C19" s="31"/>
      <c r="E19" s="60"/>
      <c r="F19" s="61"/>
      <c r="G19" s="61"/>
      <c r="H19" s="61"/>
      <c r="I19" s="61"/>
      <c r="J19" s="61"/>
      <c r="K19" s="61"/>
      <c r="L19" s="61"/>
      <c r="M19" s="59"/>
      <c r="N19" s="59"/>
      <c r="O19" s="59"/>
      <c r="P19" s="59"/>
      <c r="Q19" s="59"/>
      <c r="R19" s="59"/>
      <c r="S19" s="59"/>
    </row>
    <row r="20" spans="2:19" s="9" customFormat="1" ht="15" customHeight="1">
      <c r="B20" s="52" t="s">
        <v>15</v>
      </c>
      <c r="C20" s="306"/>
      <c r="E20" s="60"/>
      <c r="F20" s="61"/>
      <c r="G20" s="61"/>
      <c r="H20" s="61"/>
      <c r="I20" s="66"/>
      <c r="J20" s="61"/>
      <c r="K20" s="61"/>
      <c r="L20" s="61"/>
      <c r="M20" s="59"/>
      <c r="N20" s="59"/>
      <c r="O20" s="59"/>
      <c r="P20" s="59"/>
      <c r="Q20" s="59"/>
      <c r="R20" s="59"/>
      <c r="S20" s="59"/>
    </row>
    <row r="21" spans="2:19" s="9" customFormat="1" ht="15" customHeight="1">
      <c r="B21" s="53" t="s">
        <v>108</v>
      </c>
      <c r="C21" s="307"/>
      <c r="E21" s="60"/>
      <c r="F21" s="61"/>
      <c r="G21" s="61"/>
      <c r="H21" s="61"/>
      <c r="I21" s="61"/>
      <c r="J21" s="66"/>
      <c r="K21" s="61"/>
      <c r="L21" s="61"/>
      <c r="M21" s="59"/>
      <c r="N21" s="59"/>
      <c r="O21" s="59"/>
      <c r="P21" s="59"/>
      <c r="Q21" s="59"/>
      <c r="R21" s="59"/>
      <c r="S21" s="59"/>
    </row>
    <row r="22" spans="2:19" s="9" customFormat="1" ht="15" customHeight="1">
      <c r="B22" s="53" t="s">
        <v>29</v>
      </c>
      <c r="C22" s="307"/>
      <c r="E22" s="60"/>
      <c r="F22" s="61"/>
      <c r="G22" s="61"/>
      <c r="H22" s="61"/>
      <c r="I22" s="61"/>
      <c r="J22" s="66"/>
      <c r="K22" s="61"/>
      <c r="L22" s="61"/>
      <c r="M22" s="59"/>
      <c r="N22" s="59"/>
      <c r="O22" s="59"/>
      <c r="P22" s="59"/>
      <c r="Q22" s="59"/>
      <c r="R22" s="59"/>
      <c r="S22" s="59"/>
    </row>
    <row r="23" spans="2:19" s="9" customFormat="1" ht="15" customHeight="1">
      <c r="B23" s="53" t="s">
        <v>22</v>
      </c>
      <c r="C23" s="307"/>
      <c r="E23" s="60"/>
      <c r="F23" s="61"/>
      <c r="G23" s="61"/>
      <c r="H23" s="61"/>
      <c r="I23" s="61"/>
      <c r="J23" s="66"/>
      <c r="K23" s="61"/>
      <c r="L23" s="61"/>
      <c r="M23" s="59"/>
      <c r="N23" s="59"/>
      <c r="O23" s="59"/>
      <c r="P23" s="59"/>
      <c r="Q23" s="59"/>
      <c r="R23" s="59"/>
      <c r="S23" s="59"/>
    </row>
    <row r="24" spans="2:19" s="9" customFormat="1">
      <c r="B24" s="53" t="s">
        <v>30</v>
      </c>
      <c r="C24" s="307"/>
      <c r="E24" s="62"/>
      <c r="F24" s="59"/>
      <c r="G24" s="59"/>
      <c r="H24" s="59"/>
      <c r="I24" s="59"/>
      <c r="J24" s="59"/>
      <c r="K24" s="59"/>
      <c r="L24" s="59"/>
      <c r="M24" s="59"/>
      <c r="N24" s="59"/>
      <c r="O24" s="59"/>
      <c r="P24" s="59"/>
      <c r="Q24" s="59"/>
      <c r="R24" s="59"/>
      <c r="S24" s="59"/>
    </row>
    <row r="25" spans="2:19" s="9" customFormat="1">
      <c r="B25" s="53" t="s">
        <v>12</v>
      </c>
      <c r="C25" s="307"/>
      <c r="E25" s="62"/>
      <c r="F25" s="59"/>
      <c r="G25" s="59"/>
      <c r="H25" s="59"/>
      <c r="I25" s="59"/>
      <c r="J25" s="59"/>
      <c r="K25" s="59"/>
      <c r="L25" s="59"/>
      <c r="M25" s="59"/>
      <c r="N25" s="59"/>
      <c r="O25" s="59"/>
      <c r="P25" s="59"/>
      <c r="Q25" s="59"/>
      <c r="R25" s="59"/>
      <c r="S25" s="59"/>
    </row>
    <row r="26" spans="2:19" s="9" customFormat="1">
      <c r="B26" s="53" t="s">
        <v>23</v>
      </c>
      <c r="C26" s="307"/>
      <c r="E26" s="62"/>
      <c r="F26" s="59"/>
      <c r="G26" s="59"/>
      <c r="H26" s="59"/>
      <c r="I26" s="59"/>
      <c r="J26" s="59"/>
      <c r="K26" s="59"/>
      <c r="L26" s="59"/>
      <c r="M26" s="59"/>
      <c r="N26" s="59"/>
      <c r="O26" s="59"/>
      <c r="P26" s="59"/>
      <c r="Q26" s="59"/>
      <c r="R26" s="59"/>
      <c r="S26" s="59"/>
    </row>
    <row r="27" spans="2:19" s="9" customFormat="1">
      <c r="B27" s="53" t="s">
        <v>31</v>
      </c>
      <c r="C27" s="307"/>
      <c r="E27" s="62"/>
      <c r="F27" s="59"/>
      <c r="G27" s="59"/>
      <c r="H27" s="59"/>
      <c r="I27" s="59"/>
      <c r="J27" s="59"/>
      <c r="K27" s="59"/>
      <c r="L27" s="59"/>
      <c r="M27" s="59"/>
      <c r="N27" s="59"/>
      <c r="O27" s="59"/>
      <c r="P27" s="59"/>
      <c r="Q27" s="59"/>
      <c r="R27" s="59"/>
      <c r="S27" s="59"/>
    </row>
    <row r="28" spans="2:19" s="9" customFormat="1">
      <c r="B28" s="53" t="s">
        <v>25</v>
      </c>
      <c r="C28" s="307"/>
      <c r="E28" s="62"/>
      <c r="F28" s="59"/>
      <c r="G28" s="59"/>
      <c r="H28" s="59"/>
      <c r="I28" s="59"/>
      <c r="J28" s="59"/>
      <c r="K28" s="59"/>
      <c r="L28" s="59"/>
      <c r="M28" s="59"/>
      <c r="N28" s="59"/>
      <c r="O28" s="59"/>
      <c r="P28" s="59"/>
      <c r="Q28" s="59"/>
      <c r="R28" s="59"/>
      <c r="S28" s="59"/>
    </row>
    <row r="29" spans="2:19" s="9" customFormat="1">
      <c r="B29" s="53" t="s">
        <v>24</v>
      </c>
      <c r="C29" s="307"/>
      <c r="E29" s="16"/>
      <c r="F29" s="16"/>
      <c r="G29" s="16"/>
      <c r="H29" s="16"/>
      <c r="I29" s="16"/>
      <c r="J29" s="16"/>
      <c r="K29" s="16"/>
      <c r="L29" s="16"/>
      <c r="M29" s="16"/>
      <c r="N29" s="16"/>
      <c r="O29" s="16"/>
      <c r="P29" s="16"/>
      <c r="Q29" s="16"/>
      <c r="R29" s="16"/>
      <c r="S29" s="16"/>
    </row>
    <row r="30" spans="2:19" s="9" customFormat="1">
      <c r="B30" s="53" t="s">
        <v>27</v>
      </c>
      <c r="C30" s="307"/>
    </row>
    <row r="31" spans="2:19" s="9" customFormat="1">
      <c r="B31" s="53" t="s">
        <v>28</v>
      </c>
      <c r="C31" s="307"/>
    </row>
    <row r="32" spans="2:19" s="9" customFormat="1">
      <c r="B32" s="53" t="s">
        <v>32</v>
      </c>
      <c r="C32" s="307"/>
    </row>
    <row r="33" spans="2:3" s="9" customFormat="1">
      <c r="B33" s="53" t="s">
        <v>107</v>
      </c>
      <c r="C33" s="307"/>
    </row>
    <row r="34" spans="2:3" s="9" customFormat="1">
      <c r="B34" s="53" t="s">
        <v>110</v>
      </c>
      <c r="C34" s="307"/>
    </row>
    <row r="35" spans="2:3" s="9" customFormat="1">
      <c r="B35" s="53" t="s">
        <v>26</v>
      </c>
      <c r="C35" s="307"/>
    </row>
    <row r="36" spans="2:3" s="9" customFormat="1">
      <c r="B36" s="53" t="s">
        <v>111</v>
      </c>
      <c r="C36" s="307"/>
    </row>
    <row r="37" spans="2:3" s="9" customFormat="1">
      <c r="B37" s="53" t="s">
        <v>21</v>
      </c>
      <c r="C37" s="307"/>
    </row>
    <row r="38" spans="2:3" s="9" customFormat="1">
      <c r="B38" s="53" t="s">
        <v>109</v>
      </c>
      <c r="C38" s="307"/>
    </row>
    <row r="39" spans="2:3" s="9" customFormat="1">
      <c r="B39" s="53" t="s">
        <v>112</v>
      </c>
      <c r="C39" s="307"/>
    </row>
    <row r="40" spans="2:3" s="9" customFormat="1">
      <c r="B40" s="1187" t="s">
        <v>376</v>
      </c>
      <c r="C40" s="307"/>
    </row>
    <row r="41" spans="2:3" s="9" customFormat="1">
      <c r="B41" s="53" t="s">
        <v>70</v>
      </c>
      <c r="C41" s="307"/>
    </row>
    <row r="42" spans="2:3" s="9" customFormat="1">
      <c r="B42" s="53" t="s">
        <v>70</v>
      </c>
      <c r="C42" s="307"/>
    </row>
    <row r="43" spans="2:3" s="9" customFormat="1">
      <c r="B43" s="53" t="s">
        <v>70</v>
      </c>
      <c r="C43" s="307"/>
    </row>
    <row r="44" spans="2:3">
      <c r="B44" s="53" t="s">
        <v>70</v>
      </c>
      <c r="C44" s="307"/>
    </row>
    <row r="45" spans="2:3">
      <c r="B45" s="53" t="s">
        <v>70</v>
      </c>
      <c r="C45" s="308"/>
    </row>
    <row r="46" spans="2:3" ht="15.75" thickBot="1">
      <c r="B46" s="51"/>
      <c r="C46" s="309"/>
    </row>
  </sheetData>
  <sortState ref="B8:D30">
    <sortCondition ref="B8"/>
  </sortState>
  <mergeCells count="19">
    <mergeCell ref="T10:Z10"/>
    <mergeCell ref="T12:Z12"/>
    <mergeCell ref="P8:P9"/>
    <mergeCell ref="B6:C6"/>
    <mergeCell ref="O2:S2"/>
    <mergeCell ref="F8:F9"/>
    <mergeCell ref="G8:G9"/>
    <mergeCell ref="H8:H9"/>
    <mergeCell ref="I8:I9"/>
    <mergeCell ref="J8:J9"/>
    <mergeCell ref="F7:R7"/>
    <mergeCell ref="S8:S9"/>
    <mergeCell ref="K8:K9"/>
    <mergeCell ref="L8:L9"/>
    <mergeCell ref="M8:M9"/>
    <mergeCell ref="N8:N9"/>
    <mergeCell ref="O8:O9"/>
    <mergeCell ref="Q8:Q9"/>
    <mergeCell ref="R8:R9"/>
  </mergeCells>
  <pageMargins left="0.70866141732283472" right="0.70866141732283472" top="0.74803149606299213" bottom="0.74803149606299213" header="0.31496062992125984" footer="0.31496062992125984"/>
  <pageSetup scale="41" orientation="landscape" r:id="rId1"/>
  <drawing r:id="rId2"/>
</worksheet>
</file>

<file path=xl/worksheets/sheet9.xml><?xml version="1.0" encoding="utf-8"?>
<worksheet xmlns="http://schemas.openxmlformats.org/spreadsheetml/2006/main" xmlns:r="http://schemas.openxmlformats.org/officeDocument/2006/relationships">
  <sheetPr>
    <tabColor theme="7" tint="-0.249977111117893"/>
    <pageSetUpPr fitToPage="1"/>
  </sheetPr>
  <dimension ref="A1:Q66"/>
  <sheetViews>
    <sheetView workbookViewId="0">
      <pane ySplit="12" topLeftCell="A13" activePane="bottomLeft" state="frozen"/>
      <selection pane="bottomLeft" activeCell="D22" sqref="D22:F23"/>
    </sheetView>
  </sheetViews>
  <sheetFormatPr defaultRowHeight="15"/>
  <cols>
    <col min="1" max="1" width="3.42578125" customWidth="1"/>
    <col min="2" max="2" width="14.28515625" customWidth="1"/>
    <col min="3" max="3" width="38" customWidth="1"/>
    <col min="4" max="4" width="13" customWidth="1"/>
    <col min="5" max="5" width="12.5703125" bestFit="1" customWidth="1"/>
    <col min="6" max="7" width="14.28515625" bestFit="1" customWidth="1"/>
    <col min="8" max="8" width="12.5703125" bestFit="1" customWidth="1"/>
    <col min="9" max="9" width="13.140625" customWidth="1"/>
    <col min="10" max="10" width="11.28515625" customWidth="1"/>
    <col min="11" max="11" width="11.42578125" customWidth="1"/>
    <col min="12" max="12" width="11.5703125" customWidth="1"/>
    <col min="13" max="13" width="12.140625" customWidth="1"/>
    <col min="14" max="14" width="12.28515625" customWidth="1"/>
    <col min="16" max="16" width="12.5703125" customWidth="1"/>
    <col min="17" max="17" width="10.42578125" customWidth="1"/>
  </cols>
  <sheetData>
    <row r="1" spans="1:16" s="10" customFormat="1" ht="19.5" thickBot="1">
      <c r="A1" s="380">
        <f>'1. KEY DATA'!C3</f>
        <v>0</v>
      </c>
      <c r="B1" s="380"/>
      <c r="C1" s="58"/>
      <c r="D1" s="58"/>
      <c r="E1" s="58"/>
      <c r="F1" s="58"/>
      <c r="N1" s="85"/>
      <c r="O1" s="86" t="s">
        <v>90</v>
      </c>
      <c r="P1" s="87">
        <f>'1. KEY DATA'!C4</f>
        <v>0</v>
      </c>
    </row>
    <row r="2" spans="1:16" s="10" customFormat="1" ht="18" customHeight="1">
      <c r="A2" s="3" t="s">
        <v>352</v>
      </c>
      <c r="B2" s="1"/>
      <c r="C2" s="982"/>
      <c r="D2" s="1150">
        <f>'1. KEY DATA'!F6</f>
        <v>364</v>
      </c>
      <c r="E2" s="369"/>
      <c r="F2" s="58"/>
      <c r="L2" s="1244" t="s">
        <v>152</v>
      </c>
      <c r="M2" s="1245"/>
      <c r="N2" s="1245"/>
      <c r="O2" s="1245"/>
      <c r="P2" s="1246"/>
    </row>
    <row r="3" spans="1:16" s="10" customFormat="1" ht="15.75" customHeight="1">
      <c r="A3" s="3"/>
      <c r="C3" s="58"/>
      <c r="D3" s="370"/>
      <c r="E3" s="370"/>
      <c r="F3" s="58"/>
      <c r="L3" s="104"/>
      <c r="M3" s="114"/>
      <c r="N3" s="106" t="s">
        <v>153</v>
      </c>
      <c r="O3" s="107"/>
      <c r="P3" s="108"/>
    </row>
    <row r="4" spans="1:16" s="10" customFormat="1" ht="14.1" customHeight="1">
      <c r="A4" s="3"/>
      <c r="C4" s="58"/>
      <c r="D4" s="58"/>
      <c r="E4" s="58"/>
      <c r="F4" s="58"/>
      <c r="L4" s="105"/>
      <c r="M4" s="117"/>
      <c r="N4" s="106" t="s">
        <v>161</v>
      </c>
      <c r="O4" s="107"/>
      <c r="P4" s="108"/>
    </row>
    <row r="5" spans="1:16" s="10" customFormat="1" ht="14.1" customHeight="1" thickBot="1">
      <c r="A5" s="3"/>
      <c r="L5" s="118"/>
      <c r="M5" s="119"/>
      <c r="N5" s="109" t="s">
        <v>154</v>
      </c>
      <c r="O5" s="110"/>
      <c r="P5" s="111"/>
    </row>
    <row r="6" spans="1:16" s="10" customFormat="1" ht="21">
      <c r="A6" s="3"/>
      <c r="B6" s="140" t="s">
        <v>182</v>
      </c>
      <c r="C6" s="133"/>
    </row>
    <row r="7" spans="1:16" s="9" customFormat="1" ht="15.75" thickBot="1">
      <c r="B7" s="440" t="s">
        <v>198</v>
      </c>
      <c r="C7" s="441"/>
      <c r="D7" s="98"/>
      <c r="E7" s="98"/>
      <c r="F7" s="98"/>
      <c r="G7" s="98"/>
      <c r="H7" s="98"/>
      <c r="I7" s="98"/>
      <c r="J7" s="98"/>
      <c r="K7" s="98"/>
      <c r="L7" s="98"/>
      <c r="M7" s="98"/>
    </row>
    <row r="8" spans="1:16" s="9" customFormat="1" ht="44.25" customHeight="1" thickBot="1">
      <c r="D8" s="189">
        <f>'1. KEY DATA'!$C$34</f>
        <v>0</v>
      </c>
      <c r="E8" s="44">
        <f>'1. KEY DATA'!$C$35</f>
        <v>0</v>
      </c>
      <c r="F8" s="44">
        <f>'1. KEY DATA'!$C$36</f>
        <v>0</v>
      </c>
      <c r="G8" s="44">
        <f>'1. KEY DATA'!$C$37</f>
        <v>0</v>
      </c>
      <c r="H8" s="44">
        <f>'1. KEY DATA'!$C$38</f>
        <v>0</v>
      </c>
      <c r="I8" s="44">
        <f>'1. KEY DATA'!$C$39</f>
        <v>0</v>
      </c>
      <c r="J8" s="44">
        <f>'1. KEY DATA'!$C$40</f>
        <v>0</v>
      </c>
      <c r="K8" s="44">
        <f>'1. KEY DATA'!$C$41</f>
        <v>0</v>
      </c>
      <c r="L8" s="44">
        <f>'1. KEY DATA'!$C$42</f>
        <v>0</v>
      </c>
      <c r="M8" s="116">
        <f>'1. KEY DATA'!$C$43</f>
        <v>0</v>
      </c>
    </row>
    <row r="9" spans="1:16" s="9" customFormat="1" ht="15.75" thickBot="1">
      <c r="B9" s="1468" t="s">
        <v>166</v>
      </c>
      <c r="C9" s="1519"/>
      <c r="D9" s="330">
        <f>'1. KEY DATA'!E34</f>
        <v>0</v>
      </c>
      <c r="E9" s="310">
        <f>'1. KEY DATA'!E35</f>
        <v>0</v>
      </c>
      <c r="F9" s="310">
        <f>'1. KEY DATA'!E36</f>
        <v>0</v>
      </c>
      <c r="G9" s="310">
        <f>'1. KEY DATA'!E37</f>
        <v>0</v>
      </c>
      <c r="H9" s="310">
        <f>'1. KEY DATA'!E38</f>
        <v>0</v>
      </c>
      <c r="I9" s="310">
        <f>'1. KEY DATA'!E39</f>
        <v>0</v>
      </c>
      <c r="J9" s="310">
        <f>'1. KEY DATA'!E40</f>
        <v>0</v>
      </c>
      <c r="K9" s="310">
        <f>'1. KEY DATA'!E41</f>
        <v>0</v>
      </c>
      <c r="L9" s="310">
        <f>'1. KEY DATA'!E42</f>
        <v>0</v>
      </c>
      <c r="M9" s="311">
        <f>'1. KEY DATA'!E43</f>
        <v>0</v>
      </c>
    </row>
    <row r="10" spans="1:16" s="9" customFormat="1" ht="6.75" customHeight="1" thickBot="1">
      <c r="B10" s="71"/>
      <c r="C10" s="71"/>
      <c r="D10" s="72"/>
      <c r="E10" s="72"/>
      <c r="F10" s="72"/>
      <c r="G10" s="72"/>
      <c r="H10" s="72"/>
      <c r="I10" s="72"/>
      <c r="J10" s="72"/>
      <c r="K10" s="72"/>
      <c r="L10" s="72"/>
      <c r="M10" s="72"/>
    </row>
    <row r="11" spans="1:16" s="9" customFormat="1" ht="15.75" thickBot="1">
      <c r="B11" s="1520" t="s">
        <v>96</v>
      </c>
      <c r="C11" s="1521"/>
      <c r="D11" s="329" t="e">
        <f>VLOOKUP(D8,'1. KEY DATA'!$C34:$F44,4,FALSE)</f>
        <v>#N/A</v>
      </c>
      <c r="E11" s="187" t="e">
        <f>VLOOKUP(E8,'1. KEY DATA'!$C34:$F44,4,FALSE)</f>
        <v>#N/A</v>
      </c>
      <c r="F11" s="187" t="e">
        <f>VLOOKUP(F8,'1. KEY DATA'!$C34:$F44,4,FALSE)</f>
        <v>#N/A</v>
      </c>
      <c r="G11" s="187" t="e">
        <f>VLOOKUP(G8,'1. KEY DATA'!$C34:$F44,4,FALSE)</f>
        <v>#N/A</v>
      </c>
      <c r="H11" s="187" t="e">
        <f>VLOOKUP(H8,'1. KEY DATA'!$C34:$F44,4,FALSE)</f>
        <v>#N/A</v>
      </c>
      <c r="I11" s="187" t="e">
        <f>VLOOKUP(I8,'1. KEY DATA'!$C34:$F44,4,FALSE)</f>
        <v>#N/A</v>
      </c>
      <c r="J11" s="187" t="e">
        <f>VLOOKUP(J8,'1. KEY DATA'!$C34:$F44,4,FALSE)</f>
        <v>#N/A</v>
      </c>
      <c r="K11" s="187" t="e">
        <f>VLOOKUP(K8,'1. KEY DATA'!$C34:$F44,4,FALSE)</f>
        <v>#N/A</v>
      </c>
      <c r="L11" s="187" t="e">
        <f>VLOOKUP(L8,'1. KEY DATA'!$C34:$F44,4,FALSE)</f>
        <v>#N/A</v>
      </c>
      <c r="M11" s="188" t="e">
        <f>VLOOKUP(M8,'1. KEY DATA'!$C34:$F44,4,FALSE)</f>
        <v>#N/A</v>
      </c>
    </row>
    <row r="12" spans="1:16" s="9" customFormat="1" ht="6.75" customHeight="1" thickBot="1">
      <c r="B12" s="1516"/>
      <c r="C12" s="1517"/>
      <c r="D12" s="1517"/>
      <c r="E12" s="1517"/>
      <c r="F12" s="1517"/>
      <c r="G12" s="1517"/>
      <c r="H12" s="1517"/>
      <c r="I12" s="1517"/>
      <c r="J12" s="1517"/>
      <c r="K12" s="1517"/>
      <c r="L12" s="1517"/>
      <c r="M12" s="1518"/>
    </row>
    <row r="13" spans="1:16" s="9" customFormat="1" ht="15.75" thickBot="1">
      <c r="B13" s="1468" t="s">
        <v>117</v>
      </c>
      <c r="C13" s="1519"/>
      <c r="D13" s="539">
        <f>'3. Payroll'!BO50+'3. Payroll'!BO67+'4. Property'!AJ30+'5. Transport'!AE50+'6. Direct OH'!C31+'7. Admin OH'!F12</f>
        <v>0</v>
      </c>
      <c r="E13" s="539">
        <f>'3. Payroll'!BP50+'3. Payroll'!BP67+'4. Property'!AK30+'5. Transport'!AF50+'6. Direct OH'!D31+'7. Admin OH'!G12</f>
        <v>0</v>
      </c>
      <c r="F13" s="539">
        <f>'3. Payroll'!BQ50+'3. Payroll'!BQ67+'4. Property'!AL30+'5. Transport'!AG50+'6. Direct OH'!E31+'7. Admin OH'!H12</f>
        <v>0</v>
      </c>
      <c r="G13" s="539">
        <f>'3. Payroll'!BR50+'3. Payroll'!BR67+'4. Property'!AM30+'5. Transport'!AH50+'6. Direct OH'!F31+'7. Admin OH'!I12</f>
        <v>0</v>
      </c>
      <c r="H13" s="539">
        <f>'3. Payroll'!BS50+'3. Payroll'!BS67+'4. Property'!AN30+'5. Transport'!AI50+'6. Direct OH'!G31+'7. Admin OH'!J12</f>
        <v>0</v>
      </c>
      <c r="I13" s="539">
        <f>'3. Payroll'!BT50+'3. Payroll'!BT67+'4. Property'!AO30+'5. Transport'!AJ50+'6. Direct OH'!H31+'7. Admin OH'!K12</f>
        <v>0</v>
      </c>
      <c r="J13" s="539">
        <f>'3. Payroll'!BU50+'3. Payroll'!BU67+'4. Property'!AP30+'5. Transport'!AK50+'6. Direct OH'!I31+'7. Admin OH'!L12</f>
        <v>0</v>
      </c>
      <c r="K13" s="539">
        <f>'3. Payroll'!BV50+'3. Payroll'!BV67+'4. Property'!AQ30+'5. Transport'!AL50+'6. Direct OH'!J31+'7. Admin OH'!M12</f>
        <v>0</v>
      </c>
      <c r="L13" s="539">
        <f>'3. Payroll'!BW50+'3. Payroll'!BW67+'4. Property'!AR30+'5. Transport'!AM50+'6. Direct OH'!K31+'7. Admin OH'!N12</f>
        <v>0</v>
      </c>
      <c r="M13" s="539">
        <f>'3. Payroll'!BX50+'3. Payroll'!BX67+'4. Property'!AS30+'5. Transport'!AN50+'6. Direct OH'!L31+'7. Admin OH'!O12</f>
        <v>0</v>
      </c>
    </row>
    <row r="14" spans="1:16" s="9" customFormat="1" ht="15.75" thickBot="1">
      <c r="A14" s="1"/>
    </row>
    <row r="15" spans="1:16" s="9" customFormat="1" ht="22.5" customHeight="1" thickTop="1" thickBot="1">
      <c r="A15" s="1"/>
      <c r="B15" s="1512" t="s">
        <v>118</v>
      </c>
      <c r="C15" s="1513"/>
      <c r="D15" s="328" t="str">
        <f>IF(D9=0,"-",D13/D9)</f>
        <v>-</v>
      </c>
      <c r="E15" s="312" t="str">
        <f t="shared" ref="E15:M17" si="0">IF(E9=0,"-",E13/E9)</f>
        <v>-</v>
      </c>
      <c r="F15" s="312" t="str">
        <f t="shared" si="0"/>
        <v>-</v>
      </c>
      <c r="G15" s="312" t="str">
        <f t="shared" si="0"/>
        <v>-</v>
      </c>
      <c r="H15" s="312" t="str">
        <f t="shared" si="0"/>
        <v>-</v>
      </c>
      <c r="I15" s="312" t="str">
        <f t="shared" si="0"/>
        <v>-</v>
      </c>
      <c r="J15" s="312" t="str">
        <f t="shared" si="0"/>
        <v>-</v>
      </c>
      <c r="K15" s="312" t="str">
        <f t="shared" si="0"/>
        <v>-</v>
      </c>
      <c r="L15" s="312" t="str">
        <f t="shared" si="0"/>
        <v>-</v>
      </c>
      <c r="M15" s="313" t="str">
        <f t="shared" si="0"/>
        <v>-</v>
      </c>
    </row>
    <row r="16" spans="1:16" s="9" customFormat="1" ht="22.5" customHeight="1" thickTop="1" thickBot="1">
      <c r="A16" s="1"/>
    </row>
    <row r="17" spans="1:13" s="9" customFormat="1" ht="22.5" customHeight="1" thickTop="1" thickBot="1">
      <c r="A17" s="1"/>
      <c r="B17" s="1512" t="s">
        <v>377</v>
      </c>
      <c r="C17" s="1513"/>
      <c r="D17" s="328" t="e">
        <f>+'1. KEY DATA'!G34/'8. PROGRAM PRICING'!D9</f>
        <v>#DIV/0!</v>
      </c>
      <c r="E17" s="312" t="e">
        <f>+'1. KEY DATA'!G35/E9</f>
        <v>#DIV/0!</v>
      </c>
      <c r="F17" s="312" t="e">
        <f>+'1. KEY DATA'!G36/F9</f>
        <v>#DIV/0!</v>
      </c>
      <c r="G17" s="312" t="e">
        <f t="shared" si="0"/>
        <v>#N/A</v>
      </c>
      <c r="H17" s="312">
        <f>+'1. KEY DATA'!G38</f>
        <v>0</v>
      </c>
      <c r="I17" s="312" t="e">
        <f t="shared" si="0"/>
        <v>#N/A</v>
      </c>
      <c r="J17" s="312" t="e">
        <f t="shared" si="0"/>
        <v>#N/A</v>
      </c>
      <c r="K17" s="312" t="e">
        <f t="shared" si="0"/>
        <v>#N/A</v>
      </c>
      <c r="L17" s="312" t="e">
        <f t="shared" si="0"/>
        <v>#N/A</v>
      </c>
      <c r="M17" s="313" t="e">
        <f t="shared" si="0"/>
        <v>#N/A</v>
      </c>
    </row>
    <row r="18" spans="1:13" s="9" customFormat="1" ht="15.75" thickTop="1">
      <c r="A18" s="1"/>
      <c r="B18" t="s">
        <v>379</v>
      </c>
      <c r="D18" s="1188" t="e">
        <f>+D17-D15</f>
        <v>#DIV/0!</v>
      </c>
      <c r="E18" s="1188" t="e">
        <f>+E17-E15</f>
        <v>#DIV/0!</v>
      </c>
      <c r="F18" s="1188" t="e">
        <f>+F17-F15</f>
        <v>#DIV/0!</v>
      </c>
      <c r="H18" s="1188" t="e">
        <f>+H17-H15</f>
        <v>#VALUE!</v>
      </c>
    </row>
    <row r="19" spans="1:13" s="9" customFormat="1">
      <c r="A19" s="1"/>
      <c r="B19" t="s">
        <v>378</v>
      </c>
      <c r="D19" s="1189" t="e">
        <f>+D18*D9</f>
        <v>#DIV/0!</v>
      </c>
      <c r="E19" s="1189" t="e">
        <f>+E18*E9</f>
        <v>#DIV/0!</v>
      </c>
      <c r="F19" s="1189" t="e">
        <f>+F18*F9</f>
        <v>#DIV/0!</v>
      </c>
      <c r="H19" s="1189" t="e">
        <f>+H18*H9</f>
        <v>#VALUE!</v>
      </c>
    </row>
    <row r="20" spans="1:13" s="9" customFormat="1" ht="15.75" thickBot="1">
      <c r="A20" s="1"/>
    </row>
    <row r="21" spans="1:13" s="9" customFormat="1" ht="15" customHeight="1" thickBot="1">
      <c r="A21" s="1"/>
      <c r="B21" s="1468" t="s">
        <v>358</v>
      </c>
      <c r="C21" s="1519"/>
    </row>
    <row r="22" spans="1:13" s="9" customFormat="1">
      <c r="A22" s="1"/>
      <c r="B22" s="1253" t="s">
        <v>359</v>
      </c>
      <c r="C22" s="1254"/>
      <c r="D22" s="552"/>
      <c r="E22" s="552"/>
      <c r="F22" s="552"/>
      <c r="G22" s="553"/>
      <c r="H22" s="553"/>
      <c r="I22" s="553"/>
      <c r="J22" s="553"/>
      <c r="K22" s="553"/>
      <c r="L22" s="553"/>
      <c r="M22" s="554"/>
    </row>
    <row r="23" spans="1:13" s="9" customFormat="1" ht="15.75" thickBot="1">
      <c r="A23" s="1"/>
      <c r="B23" s="1511" t="s">
        <v>360</v>
      </c>
      <c r="C23" s="1270"/>
      <c r="D23" s="555"/>
      <c r="E23" s="555"/>
      <c r="F23" s="555"/>
      <c r="G23" s="555"/>
      <c r="H23" s="555"/>
      <c r="I23" s="555"/>
      <c r="J23" s="555"/>
      <c r="K23" s="555"/>
      <c r="L23" s="555"/>
      <c r="M23" s="556"/>
    </row>
    <row r="24" spans="1:13" s="9" customFormat="1" ht="15.75" thickBot="1">
      <c r="A24" s="1"/>
      <c r="B24" s="1265" t="s">
        <v>361</v>
      </c>
      <c r="C24" s="1266"/>
      <c r="D24" s="78">
        <f t="shared" ref="D24:M24" si="1">SUM(D22:D23)</f>
        <v>0</v>
      </c>
      <c r="E24" s="76">
        <f t="shared" si="1"/>
        <v>0</v>
      </c>
      <c r="F24" s="76">
        <f t="shared" si="1"/>
        <v>0</v>
      </c>
      <c r="G24" s="76">
        <f t="shared" si="1"/>
        <v>0</v>
      </c>
      <c r="H24" s="76">
        <f t="shared" si="1"/>
        <v>0</v>
      </c>
      <c r="I24" s="76">
        <f t="shared" si="1"/>
        <v>0</v>
      </c>
      <c r="J24" s="76">
        <f t="shared" si="1"/>
        <v>0</v>
      </c>
      <c r="K24" s="76">
        <f t="shared" si="1"/>
        <v>0</v>
      </c>
      <c r="L24" s="76">
        <f t="shared" si="1"/>
        <v>0</v>
      </c>
      <c r="M24" s="77">
        <f t="shared" si="1"/>
        <v>0</v>
      </c>
    </row>
    <row r="25" spans="1:13" s="9" customFormat="1" ht="15.75" thickBot="1">
      <c r="A25" s="1"/>
      <c r="B25" s="63"/>
      <c r="C25" s="63"/>
      <c r="D25" s="75"/>
      <c r="E25" s="75"/>
      <c r="F25" s="75"/>
      <c r="G25" s="75"/>
      <c r="H25" s="75"/>
      <c r="I25" s="75"/>
      <c r="J25" s="75"/>
      <c r="K25" s="75"/>
      <c r="L25" s="75"/>
      <c r="M25" s="75"/>
    </row>
    <row r="26" spans="1:13" s="9" customFormat="1" ht="23.25" customHeight="1" thickTop="1" thickBot="1">
      <c r="A26" s="1"/>
      <c r="B26" s="1512" t="s">
        <v>119</v>
      </c>
      <c r="C26" s="1513"/>
      <c r="D26" s="91" t="e">
        <f t="shared" ref="D26:M26" si="2">D15*(1+D24)</f>
        <v>#VALUE!</v>
      </c>
      <c r="E26" s="91" t="e">
        <f t="shared" si="2"/>
        <v>#VALUE!</v>
      </c>
      <c r="F26" s="91" t="e">
        <f t="shared" si="2"/>
        <v>#VALUE!</v>
      </c>
      <c r="G26" s="91" t="e">
        <f t="shared" si="2"/>
        <v>#VALUE!</v>
      </c>
      <c r="H26" s="91" t="e">
        <f t="shared" si="2"/>
        <v>#VALUE!</v>
      </c>
      <c r="I26" s="91" t="e">
        <f t="shared" si="2"/>
        <v>#VALUE!</v>
      </c>
      <c r="J26" s="91" t="e">
        <f t="shared" si="2"/>
        <v>#VALUE!</v>
      </c>
      <c r="K26" s="91" t="e">
        <f t="shared" si="2"/>
        <v>#VALUE!</v>
      </c>
      <c r="L26" s="91" t="e">
        <f t="shared" si="2"/>
        <v>#VALUE!</v>
      </c>
      <c r="M26" s="90" t="e">
        <f t="shared" si="2"/>
        <v>#VALUE!</v>
      </c>
    </row>
    <row r="27" spans="1:13" s="9" customFormat="1" ht="15.75" thickTop="1">
      <c r="A27" s="1"/>
    </row>
    <row r="28" spans="1:13" s="9" customFormat="1" ht="15.75" thickBot="1">
      <c r="A28" s="1"/>
      <c r="D28" s="314"/>
    </row>
    <row r="29" spans="1:13" s="9" customFormat="1" ht="15.75" thickBot="1">
      <c r="A29" s="1"/>
      <c r="B29" s="1522" t="s">
        <v>120</v>
      </c>
      <c r="C29" s="1523"/>
    </row>
    <row r="30" spans="1:13" s="9" customFormat="1" ht="6" customHeight="1" thickBot="1">
      <c r="A30" s="1"/>
    </row>
    <row r="31" spans="1:13" s="9" customFormat="1" ht="15.75" thickBot="1">
      <c r="A31" s="1"/>
      <c r="B31" s="1505" t="s">
        <v>252</v>
      </c>
      <c r="C31" s="1506"/>
    </row>
    <row r="32" spans="1:13" s="9" customFormat="1" ht="7.5" customHeight="1" thickBot="1">
      <c r="A32" s="1"/>
      <c r="B32" s="93"/>
      <c r="C32" s="63"/>
    </row>
    <row r="33" spans="1:17" s="9" customFormat="1">
      <c r="B33" s="1253" t="s">
        <v>121</v>
      </c>
      <c r="C33" s="1254"/>
      <c r="D33" s="317" t="str">
        <f>IF(D$9=0," ",'3. Payroll'!BO50/'8. PROGRAM PRICING'!D$9)</f>
        <v xml:space="preserve"> </v>
      </c>
      <c r="E33" s="317" t="str">
        <f>IF(E$9=0," ",'3. Payroll'!BP50/'8. PROGRAM PRICING'!E$9)</f>
        <v xml:space="preserve"> </v>
      </c>
      <c r="F33" s="317" t="str">
        <f>IF(F$9=0," ",'3. Payroll'!BQ50/'8. PROGRAM PRICING'!F$9)</f>
        <v xml:space="preserve"> </v>
      </c>
      <c r="G33" s="317" t="str">
        <f>IF(G$9=0," ",'3. Payroll'!BR50/'8. PROGRAM PRICING'!G$9)</f>
        <v xml:space="preserve"> </v>
      </c>
      <c r="H33" s="317" t="str">
        <f>IF(H$9=0," ",'3. Payroll'!BS50/'8. PROGRAM PRICING'!H$9)</f>
        <v xml:space="preserve"> </v>
      </c>
      <c r="I33" s="317" t="str">
        <f>IF(I$9=0," ",'3. Payroll'!BT50/'8. PROGRAM PRICING'!I$9)</f>
        <v xml:space="preserve"> </v>
      </c>
      <c r="J33" s="317" t="str">
        <f>IF(J$9=0," ",'3. Payroll'!BU50/'8. PROGRAM PRICING'!J$9)</f>
        <v xml:space="preserve"> </v>
      </c>
      <c r="K33" s="317" t="str">
        <f>IF(K$9=0," ",'3. Payroll'!BV50/'8. PROGRAM PRICING'!K$9)</f>
        <v xml:space="preserve"> </v>
      </c>
      <c r="L33" s="317" t="str">
        <f>IF(L$9=0," ",'3. Payroll'!BW50/'8. PROGRAM PRICING'!L$9)</f>
        <v xml:space="preserve"> </v>
      </c>
      <c r="M33" s="318" t="str">
        <f>IF(M$9=0," ",'3. Payroll'!BX50/'8. PROGRAM PRICING'!M$9)</f>
        <v xml:space="preserve"> </v>
      </c>
    </row>
    <row r="34" spans="1:17" s="9" customFormat="1">
      <c r="B34" s="1511" t="s">
        <v>370</v>
      </c>
      <c r="C34" s="1270"/>
      <c r="D34" s="319" t="str">
        <f>IF(D$9=0," ",'3. Payroll'!BO67/'8. PROGRAM PRICING'!D$9)</f>
        <v xml:space="preserve"> </v>
      </c>
      <c r="E34" s="319" t="str">
        <f>IF(E$9=0," ",'3. Payroll'!BP67/'8. PROGRAM PRICING'!E$9)</f>
        <v xml:space="preserve"> </v>
      </c>
      <c r="F34" s="319" t="str">
        <f>IF(F$9=0," ",'3. Payroll'!BQ67/'8. PROGRAM PRICING'!F$9)</f>
        <v xml:space="preserve"> </v>
      </c>
      <c r="G34" s="319" t="str">
        <f>IF(G$9=0," ",'3. Payroll'!BR67/'8. PROGRAM PRICING'!G$9)</f>
        <v xml:space="preserve"> </v>
      </c>
      <c r="H34" s="319" t="str">
        <f>IF(H$9=0," ",'3. Payroll'!BS67/'8. PROGRAM PRICING'!H$9)</f>
        <v xml:space="preserve"> </v>
      </c>
      <c r="I34" s="319" t="str">
        <f>IF(I$9=0," ",'3. Payroll'!BT67/'8. PROGRAM PRICING'!I$9)</f>
        <v xml:space="preserve"> </v>
      </c>
      <c r="J34" s="319" t="str">
        <f>IF(J$9=0," ",'3. Payroll'!BU67/'8. PROGRAM PRICING'!J$9)</f>
        <v xml:space="preserve"> </v>
      </c>
      <c r="K34" s="319" t="str">
        <f>IF(K$9=0," ",'3. Payroll'!BV67/'8. PROGRAM PRICING'!K$9)</f>
        <v xml:space="preserve"> </v>
      </c>
      <c r="L34" s="319" t="str">
        <f>IF(L$9=0," ",'3. Payroll'!BW67/'8. PROGRAM PRICING'!L$9)</f>
        <v xml:space="preserve"> </v>
      </c>
      <c r="M34" s="320" t="str">
        <f>IF(M$9=0," ",'3. Payroll'!BX67/'8. PROGRAM PRICING'!M$9)</f>
        <v xml:space="preserve"> </v>
      </c>
    </row>
    <row r="35" spans="1:17" s="9" customFormat="1">
      <c r="B35" s="1511" t="s">
        <v>66</v>
      </c>
      <c r="C35" s="1270"/>
      <c r="D35" s="319" t="str">
        <f>IF(D$9=0," ",'4. Property'!AJ30/'8. PROGRAM PRICING'!D$9)</f>
        <v xml:space="preserve"> </v>
      </c>
      <c r="E35" s="319" t="str">
        <f>IF(E$9=0," ",'4. Property'!AK30/'8. PROGRAM PRICING'!E$9)</f>
        <v xml:space="preserve"> </v>
      </c>
      <c r="F35" s="319" t="str">
        <f>IF(F$9=0," ",'4. Property'!AL30/'8. PROGRAM PRICING'!F$9)</f>
        <v xml:space="preserve"> </v>
      </c>
      <c r="G35" s="319" t="str">
        <f>IF(G$9=0," ",'4. Property'!AM30/'8. PROGRAM PRICING'!G$9)</f>
        <v xml:space="preserve"> </v>
      </c>
      <c r="H35" s="319" t="str">
        <f>IF(H$9=0," ",'4. Property'!AN30/'8. PROGRAM PRICING'!H$9)</f>
        <v xml:space="preserve"> </v>
      </c>
      <c r="I35" s="319" t="str">
        <f>IF(I$9=0," ",'4. Property'!AO30/'8. PROGRAM PRICING'!I$9)</f>
        <v xml:space="preserve"> </v>
      </c>
      <c r="J35" s="319" t="str">
        <f>IF(J$9=0," ",'4. Property'!AP30/'8. PROGRAM PRICING'!J$9)</f>
        <v xml:space="preserve"> </v>
      </c>
      <c r="K35" s="319" t="str">
        <f>IF(K$9=0," ",'4. Property'!AQ30/'8. PROGRAM PRICING'!K$9)</f>
        <v xml:space="preserve"> </v>
      </c>
      <c r="L35" s="319" t="str">
        <f>IF(L$9=0," ",'4. Property'!AR30/'8. PROGRAM PRICING'!L$9)</f>
        <v xml:space="preserve"> </v>
      </c>
      <c r="M35" s="320" t="str">
        <f>IF(M$9=0," ",'4. Property'!AS30/'8. PROGRAM PRICING'!M$9)</f>
        <v xml:space="preserve"> </v>
      </c>
    </row>
    <row r="36" spans="1:17" s="9" customFormat="1">
      <c r="B36" s="1511" t="s">
        <v>4</v>
      </c>
      <c r="C36" s="1270"/>
      <c r="D36" s="319" t="str">
        <f>IF(D$9=0," ",'5. Transport'!AE50/'8. PROGRAM PRICING'!D$9)</f>
        <v xml:space="preserve"> </v>
      </c>
      <c r="E36" s="319" t="str">
        <f>IF(E$9=0," ",'5. Transport'!AF50/'8. PROGRAM PRICING'!E$9)</f>
        <v xml:space="preserve"> </v>
      </c>
      <c r="F36" s="319" t="str">
        <f>IF(F$9=0," ",'5. Transport'!AG50/'8. PROGRAM PRICING'!F$9)</f>
        <v xml:space="preserve"> </v>
      </c>
      <c r="G36" s="319" t="str">
        <f>IF(G$9=0," ",'5. Transport'!AH50/'8. PROGRAM PRICING'!G$9)</f>
        <v xml:space="preserve"> </v>
      </c>
      <c r="H36" s="319" t="str">
        <f>IF(H$9=0," ",'5. Transport'!AI50/'8. PROGRAM PRICING'!H$9)</f>
        <v xml:space="preserve"> </v>
      </c>
      <c r="I36" s="319" t="str">
        <f>IF(I$9=0," ",'5. Transport'!AJ50/'8. PROGRAM PRICING'!I$9)</f>
        <v xml:space="preserve"> </v>
      </c>
      <c r="J36" s="319" t="str">
        <f>IF(J$9=0," ",'5. Transport'!AK50/'8. PROGRAM PRICING'!J$9)</f>
        <v xml:space="preserve"> </v>
      </c>
      <c r="K36" s="319" t="str">
        <f>IF(K$9=0," ",'5. Transport'!AL50/'8. PROGRAM PRICING'!K$9)</f>
        <v xml:space="preserve"> </v>
      </c>
      <c r="L36" s="319" t="str">
        <f>IF(L$9=0," ",'5. Transport'!AM50/'8. PROGRAM PRICING'!L$9)</f>
        <v xml:space="preserve"> </v>
      </c>
      <c r="M36" s="320" t="str">
        <f>IF(M$9=0," ",'5. Transport'!AN50/'8. PROGRAM PRICING'!M$9)</f>
        <v xml:space="preserve"> </v>
      </c>
    </row>
    <row r="37" spans="1:17" s="9" customFormat="1">
      <c r="B37" s="1511" t="s">
        <v>122</v>
      </c>
      <c r="C37" s="1270"/>
      <c r="D37" s="319" t="str">
        <f>IF(D$9=0," ",'6. Direct OH'!C31/'8. PROGRAM PRICING'!D$9)</f>
        <v xml:space="preserve"> </v>
      </c>
      <c r="E37" s="319" t="str">
        <f>IF(E$9=0," ",'6. Direct OH'!D31/'8. PROGRAM PRICING'!E$9)</f>
        <v xml:space="preserve"> </v>
      </c>
      <c r="F37" s="319" t="str">
        <f>IF(F$9=0," ",'6. Direct OH'!E31/'8. PROGRAM PRICING'!F$9)</f>
        <v xml:space="preserve"> </v>
      </c>
      <c r="G37" s="319" t="str">
        <f>IF(G$9=0," ",'6. Direct OH'!F31/'8. PROGRAM PRICING'!G$9)</f>
        <v xml:space="preserve"> </v>
      </c>
      <c r="H37" s="319" t="str">
        <f>IF(H$9=0," ",'6. Direct OH'!G31/'8. PROGRAM PRICING'!H$9)</f>
        <v xml:space="preserve"> </v>
      </c>
      <c r="I37" s="319" t="str">
        <f>IF(I$9=0," ",'6. Direct OH'!H31/'8. PROGRAM PRICING'!I$9)</f>
        <v xml:space="preserve"> </v>
      </c>
      <c r="J37" s="319" t="str">
        <f>IF(J$9=0," ",'6. Direct OH'!I31/'8. PROGRAM PRICING'!J$9)</f>
        <v xml:space="preserve"> </v>
      </c>
      <c r="K37" s="319" t="str">
        <f>IF(K$9=0," ",'6. Direct OH'!J31/'8. PROGRAM PRICING'!K$9)</f>
        <v xml:space="preserve"> </v>
      </c>
      <c r="L37" s="319" t="str">
        <f>IF(L$9=0," ",'6. Direct OH'!K31/'8. PROGRAM PRICING'!L$9)</f>
        <v xml:space="preserve"> </v>
      </c>
      <c r="M37" s="320" t="str">
        <f>IF(M$9=0," ",'6. Direct OH'!L31/'8. PROGRAM PRICING'!M$9)</f>
        <v xml:space="preserve"> </v>
      </c>
    </row>
    <row r="38" spans="1:17" s="9" customFormat="1" ht="15.75" thickBot="1">
      <c r="B38" s="1511" t="s">
        <v>250</v>
      </c>
      <c r="C38" s="1270"/>
      <c r="D38" s="315" t="str">
        <f>IF(D$9=0," ",'7. Admin OH'!F12/'8. PROGRAM PRICING'!D$9)</f>
        <v xml:space="preserve"> </v>
      </c>
      <c r="E38" s="315" t="str">
        <f>IF(E$9=0," ",'7. Admin OH'!G12/'8. PROGRAM PRICING'!E$9)</f>
        <v xml:space="preserve"> </v>
      </c>
      <c r="F38" s="315" t="str">
        <f>IF(F$9=0," ",'7. Admin OH'!H12/'8. PROGRAM PRICING'!F$9)</f>
        <v xml:space="preserve"> </v>
      </c>
      <c r="G38" s="315" t="str">
        <f>IF(G$9=0," ",'7. Admin OH'!I12/'8. PROGRAM PRICING'!G$9)</f>
        <v xml:space="preserve"> </v>
      </c>
      <c r="H38" s="315" t="str">
        <f>IF(H$9=0," ",'7. Admin OH'!J12/'8. PROGRAM PRICING'!H$9)</f>
        <v xml:space="preserve"> </v>
      </c>
      <c r="I38" s="315" t="str">
        <f>IF(I$9=0," ",'7. Admin OH'!K12/'8. PROGRAM PRICING'!I$9)</f>
        <v xml:space="preserve"> </v>
      </c>
      <c r="J38" s="315" t="str">
        <f>IF(J$9=0," ",'7. Admin OH'!L12/'8. PROGRAM PRICING'!J$9)</f>
        <v xml:space="preserve"> </v>
      </c>
      <c r="K38" s="315" t="str">
        <f>IF(K$9=0," ",'7. Admin OH'!M12/'8. PROGRAM PRICING'!K$9)</f>
        <v xml:space="preserve"> </v>
      </c>
      <c r="L38" s="315" t="str">
        <f>IF(L$9=0," ",'7. Admin OH'!N12/'8. PROGRAM PRICING'!L$9)</f>
        <v xml:space="preserve"> </v>
      </c>
      <c r="M38" s="316" t="str">
        <f>IF(M$9=0," ",'7. Admin OH'!O12/'8. PROGRAM PRICING'!M$9)</f>
        <v xml:space="preserve"> </v>
      </c>
    </row>
    <row r="39" spans="1:17" s="9" customFormat="1" ht="15.75" thickBot="1">
      <c r="B39" s="1503" t="s">
        <v>75</v>
      </c>
      <c r="C39" s="1504"/>
      <c r="D39" s="321">
        <f t="shared" ref="D39:M39" si="3">SUM(D33:D38)</f>
        <v>0</v>
      </c>
      <c r="E39" s="322">
        <f t="shared" si="3"/>
        <v>0</v>
      </c>
      <c r="F39" s="322">
        <f t="shared" si="3"/>
        <v>0</v>
      </c>
      <c r="G39" s="322">
        <f t="shared" si="3"/>
        <v>0</v>
      </c>
      <c r="H39" s="322">
        <f t="shared" si="3"/>
        <v>0</v>
      </c>
      <c r="I39" s="322">
        <f t="shared" si="3"/>
        <v>0</v>
      </c>
      <c r="J39" s="322">
        <f t="shared" si="3"/>
        <v>0</v>
      </c>
      <c r="K39" s="322">
        <f t="shared" si="3"/>
        <v>0</v>
      </c>
      <c r="L39" s="537">
        <f t="shared" si="3"/>
        <v>0</v>
      </c>
      <c r="M39" s="540">
        <f t="shared" si="3"/>
        <v>0</v>
      </c>
      <c r="N39" s="551"/>
      <c r="O39" s="551"/>
      <c r="P39" s="551"/>
    </row>
    <row r="40" spans="1:17" s="9" customFormat="1">
      <c r="B40" s="191"/>
      <c r="C40" s="191"/>
      <c r="D40" s="1201"/>
      <c r="E40" s="1201"/>
      <c r="F40" s="1201"/>
      <c r="G40" s="538"/>
      <c r="H40" s="538"/>
      <c r="I40" s="538"/>
      <c r="J40" s="538"/>
      <c r="K40" s="538"/>
      <c r="L40" s="538"/>
      <c r="M40" s="538"/>
      <c r="N40" s="551"/>
      <c r="O40" s="551"/>
      <c r="P40" s="551"/>
      <c r="Q40" s="59"/>
    </row>
    <row r="41" spans="1:17" s="9" customFormat="1" ht="15.75" thickBot="1">
      <c r="D41" s="1200"/>
      <c r="E41" s="1200"/>
      <c r="F41" s="1200"/>
      <c r="H41" s="1200"/>
    </row>
    <row r="42" spans="1:17" s="9" customFormat="1" ht="15.75" thickBot="1">
      <c r="A42" s="1"/>
      <c r="B42" s="1505" t="s">
        <v>251</v>
      </c>
      <c r="C42" s="1506"/>
      <c r="D42" s="1200"/>
      <c r="E42" s="1200"/>
      <c r="F42" s="1200"/>
      <c r="H42" s="1200"/>
      <c r="N42" s="1514" t="s">
        <v>106</v>
      </c>
    </row>
    <row r="43" spans="1:17" s="9" customFormat="1" ht="7.5" customHeight="1" thickBot="1">
      <c r="A43" s="113"/>
      <c r="B43" s="93"/>
      <c r="C43" s="63"/>
      <c r="D43" s="48"/>
      <c r="E43" s="48"/>
      <c r="F43" s="48"/>
      <c r="G43" s="48"/>
      <c r="H43" s="48"/>
      <c r="I43" s="48"/>
      <c r="J43" s="48"/>
      <c r="K43" s="48"/>
      <c r="L43" s="48"/>
      <c r="M43" s="48"/>
      <c r="N43" s="1515"/>
      <c r="O43" s="48"/>
    </row>
    <row r="44" spans="1:17" s="9" customFormat="1">
      <c r="B44" s="1507" t="s">
        <v>123</v>
      </c>
      <c r="C44" s="1508"/>
      <c r="D44" s="541">
        <f t="shared" ref="D44:M44" si="4">IF(D9=0,0,D9*D26)</f>
        <v>0</v>
      </c>
      <c r="E44" s="541">
        <f t="shared" si="4"/>
        <v>0</v>
      </c>
      <c r="F44" s="541">
        <f t="shared" si="4"/>
        <v>0</v>
      </c>
      <c r="G44" s="541">
        <f t="shared" si="4"/>
        <v>0</v>
      </c>
      <c r="H44" s="541">
        <f t="shared" si="4"/>
        <v>0</v>
      </c>
      <c r="I44" s="541">
        <f t="shared" si="4"/>
        <v>0</v>
      </c>
      <c r="J44" s="541">
        <f t="shared" si="4"/>
        <v>0</v>
      </c>
      <c r="K44" s="541">
        <f t="shared" si="4"/>
        <v>0</v>
      </c>
      <c r="L44" s="541">
        <f t="shared" si="4"/>
        <v>0</v>
      </c>
      <c r="M44" s="542">
        <f t="shared" si="4"/>
        <v>0</v>
      </c>
      <c r="N44" s="544">
        <f>SUM(D44:M44)</f>
        <v>0</v>
      </c>
    </row>
    <row r="45" spans="1:17" s="9" customFormat="1" ht="15.75" thickBot="1">
      <c r="B45" s="1509" t="s">
        <v>124</v>
      </c>
      <c r="C45" s="1510"/>
      <c r="D45" s="545">
        <f t="shared" ref="D45:M45" si="5">D44-D13</f>
        <v>0</v>
      </c>
      <c r="E45" s="545">
        <f t="shared" si="5"/>
        <v>0</v>
      </c>
      <c r="F45" s="545">
        <f t="shared" si="5"/>
        <v>0</v>
      </c>
      <c r="G45" s="545">
        <f t="shared" si="5"/>
        <v>0</v>
      </c>
      <c r="H45" s="545">
        <f t="shared" si="5"/>
        <v>0</v>
      </c>
      <c r="I45" s="545">
        <f t="shared" si="5"/>
        <v>0</v>
      </c>
      <c r="J45" s="545">
        <f t="shared" si="5"/>
        <v>0</v>
      </c>
      <c r="K45" s="545">
        <f t="shared" si="5"/>
        <v>0</v>
      </c>
      <c r="L45" s="545">
        <f t="shared" si="5"/>
        <v>0</v>
      </c>
      <c r="M45" s="546">
        <f t="shared" si="5"/>
        <v>0</v>
      </c>
      <c r="N45" s="543">
        <f>SUM(D45:M46)</f>
        <v>0</v>
      </c>
    </row>
    <row r="46" spans="1:17" s="9" customFormat="1"/>
    <row r="47" spans="1:17" s="9" customFormat="1" ht="15.75" thickBot="1"/>
    <row r="48" spans="1:17" s="9" customFormat="1" ht="15.75" thickBot="1">
      <c r="B48" s="1505" t="s">
        <v>202</v>
      </c>
      <c r="C48" s="1506"/>
    </row>
    <row r="49" spans="2:13" s="9" customFormat="1" ht="7.5" customHeight="1" thickBot="1">
      <c r="B49" s="167"/>
      <c r="C49" s="167"/>
    </row>
    <row r="50" spans="2:13" s="9" customFormat="1">
      <c r="B50" s="1491" t="s">
        <v>183</v>
      </c>
      <c r="C50" s="1492"/>
      <c r="D50" s="547">
        <f>IF(D9=0,0,('3. Payroll'!BO67+'4. Property'!AJ30+'7. Admin OH'!F12)/(D26-(D33+D36+D37)))</f>
        <v>0</v>
      </c>
      <c r="E50" s="547" t="e">
        <f>('3. Payroll'!BP67+'4. Property'!AK30+'7. Admin OH'!G12)/(E26-(E33+E36+E37))</f>
        <v>#VALUE!</v>
      </c>
      <c r="F50" s="547" t="e">
        <f>('3. Payroll'!BQ67+'4. Property'!AL30+'7. Admin OH'!H12)/(F26-(F33+F36+F37))</f>
        <v>#VALUE!</v>
      </c>
      <c r="G50" s="547" t="e">
        <f>('3. Payroll'!BR67+'4. Property'!AM30+'7. Admin OH'!I12)/(G26-(G33+G36+G37))</f>
        <v>#VALUE!</v>
      </c>
      <c r="H50" s="547" t="e">
        <f>('3. Payroll'!BS67+'4. Property'!AN30+'7. Admin OH'!J12)/(H26-(H33+H36+H37))</f>
        <v>#VALUE!</v>
      </c>
      <c r="I50" s="547" t="e">
        <f>('3. Payroll'!BT67+'4. Property'!AO30+'7. Admin OH'!K12)/(I26-(I33+I36+I37))</f>
        <v>#VALUE!</v>
      </c>
      <c r="J50" s="547" t="e">
        <f>('3. Payroll'!BU67+'4. Property'!AP30+'7. Admin OH'!L12)/(J26-(J33+J36+J37))</f>
        <v>#VALUE!</v>
      </c>
      <c r="K50" s="547" t="e">
        <f>('3. Payroll'!BV67+'4. Property'!AQ30+'7. Admin OH'!M12)/(K26-(K33+K36+K37))</f>
        <v>#VALUE!</v>
      </c>
      <c r="L50" s="547" t="e">
        <f>('3. Payroll'!BW67+'4. Property'!AR30+'7. Admin OH'!N12)/(L26-(L33+L36+L37))</f>
        <v>#VALUE!</v>
      </c>
      <c r="M50" s="548" t="e">
        <f>('3. Payroll'!BX67+'4. Property'!AS30+'7. Admin OH'!O12)/(M26-(M33+M36+M37))</f>
        <v>#VALUE!</v>
      </c>
    </row>
    <row r="51" spans="2:13" s="9" customFormat="1" ht="15.75" thickBot="1">
      <c r="B51" s="1493" t="s">
        <v>184</v>
      </c>
      <c r="C51" s="1494"/>
      <c r="D51" s="549">
        <f t="shared" ref="D51:M51" si="6">D9-D50</f>
        <v>0</v>
      </c>
      <c r="E51" s="549" t="e">
        <f t="shared" si="6"/>
        <v>#VALUE!</v>
      </c>
      <c r="F51" s="549" t="e">
        <f t="shared" si="6"/>
        <v>#VALUE!</v>
      </c>
      <c r="G51" s="549" t="e">
        <f t="shared" si="6"/>
        <v>#VALUE!</v>
      </c>
      <c r="H51" s="549" t="e">
        <f t="shared" si="6"/>
        <v>#VALUE!</v>
      </c>
      <c r="I51" s="549" t="e">
        <f t="shared" si="6"/>
        <v>#VALUE!</v>
      </c>
      <c r="J51" s="549" t="e">
        <f t="shared" si="6"/>
        <v>#VALUE!</v>
      </c>
      <c r="K51" s="549" t="e">
        <f t="shared" si="6"/>
        <v>#VALUE!</v>
      </c>
      <c r="L51" s="549" t="e">
        <f t="shared" si="6"/>
        <v>#VALUE!</v>
      </c>
      <c r="M51" s="550" t="e">
        <f t="shared" si="6"/>
        <v>#VALUE!</v>
      </c>
    </row>
    <row r="52" spans="2:13" s="9" customFormat="1">
      <c r="B52" s="168"/>
      <c r="C52" s="168"/>
      <c r="D52" s="59"/>
      <c r="E52" s="59"/>
      <c r="F52" s="59"/>
      <c r="G52" s="59"/>
      <c r="H52" s="59"/>
      <c r="I52" s="59"/>
      <c r="J52" s="59"/>
      <c r="K52" s="59"/>
      <c r="L52" s="59"/>
      <c r="M52" s="59"/>
    </row>
    <row r="53" spans="2:13" s="9" customFormat="1">
      <c r="B53" s="168"/>
      <c r="C53" s="168"/>
      <c r="D53" s="59"/>
      <c r="E53" s="59"/>
      <c r="F53" s="59"/>
      <c r="G53" s="59"/>
      <c r="H53" s="59"/>
      <c r="I53" s="59"/>
      <c r="J53" s="59"/>
      <c r="K53" s="59"/>
      <c r="L53" s="59"/>
      <c r="M53" s="59"/>
    </row>
    <row r="54" spans="2:13" s="9" customFormat="1" ht="18.75">
      <c r="B54" s="1500" t="s">
        <v>199</v>
      </c>
      <c r="C54" s="1501"/>
      <c r="D54" s="1501"/>
      <c r="E54" s="1501"/>
    </row>
    <row r="55" spans="2:13" s="9" customFormat="1" ht="6" customHeight="1" thickBot="1">
      <c r="B55" s="193"/>
      <c r="C55" s="193"/>
    </row>
    <row r="56" spans="2:13" s="9" customFormat="1" ht="15.75" customHeight="1">
      <c r="B56" s="54" t="s">
        <v>190</v>
      </c>
      <c r="C56" s="192"/>
      <c r="D56" s="317" t="e">
        <f t="shared" ref="D56:M56" si="7">D26-D33-D36-D37</f>
        <v>#VALUE!</v>
      </c>
      <c r="E56" s="317" t="e">
        <f t="shared" si="7"/>
        <v>#VALUE!</v>
      </c>
      <c r="F56" s="317" t="e">
        <f t="shared" si="7"/>
        <v>#VALUE!</v>
      </c>
      <c r="G56" s="317" t="e">
        <f t="shared" si="7"/>
        <v>#VALUE!</v>
      </c>
      <c r="H56" s="317" t="e">
        <f t="shared" si="7"/>
        <v>#VALUE!</v>
      </c>
      <c r="I56" s="317" t="e">
        <f t="shared" si="7"/>
        <v>#VALUE!</v>
      </c>
      <c r="J56" s="317" t="e">
        <f t="shared" si="7"/>
        <v>#VALUE!</v>
      </c>
      <c r="K56" s="317" t="e">
        <f t="shared" si="7"/>
        <v>#VALUE!</v>
      </c>
      <c r="L56" s="317" t="e">
        <f t="shared" si="7"/>
        <v>#VALUE!</v>
      </c>
      <c r="M56" s="318" t="e">
        <f t="shared" si="7"/>
        <v>#VALUE!</v>
      </c>
    </row>
    <row r="57" spans="2:13" s="9" customFormat="1" ht="15.75" customHeight="1">
      <c r="B57" s="1497" t="s">
        <v>197</v>
      </c>
      <c r="C57" s="1498"/>
      <c r="D57" s="557"/>
      <c r="E57" s="557"/>
      <c r="F57" s="557"/>
      <c r="G57" s="557"/>
      <c r="H57" s="557"/>
      <c r="I57" s="557"/>
      <c r="J57" s="557"/>
      <c r="K57" s="557"/>
      <c r="L57" s="557"/>
      <c r="M57" s="558"/>
    </row>
    <row r="58" spans="2:13" s="9" customFormat="1" ht="15.75" customHeight="1">
      <c r="B58" s="1499" t="s">
        <v>196</v>
      </c>
      <c r="C58" s="1236"/>
      <c r="D58" s="559"/>
      <c r="E58" s="560"/>
      <c r="F58" s="560"/>
      <c r="G58" s="560"/>
      <c r="H58" s="560"/>
      <c r="I58" s="560"/>
      <c r="J58" s="560"/>
      <c r="K58" s="560"/>
      <c r="L58" s="560"/>
      <c r="M58" s="561"/>
    </row>
    <row r="59" spans="2:13" s="9" customFormat="1" ht="15.75" customHeight="1" thickBot="1">
      <c r="B59" s="1502" t="s">
        <v>203</v>
      </c>
      <c r="C59" s="1272"/>
      <c r="D59" s="323" t="str">
        <f>IF(D57=0,"-",D58/D57)</f>
        <v>-</v>
      </c>
      <c r="E59" s="323" t="str">
        <f t="shared" ref="E59:M59" si="8">IF(E57=0,"-",E58/E57)</f>
        <v>-</v>
      </c>
      <c r="F59" s="323" t="str">
        <f t="shared" si="8"/>
        <v>-</v>
      </c>
      <c r="G59" s="323" t="str">
        <f t="shared" si="8"/>
        <v>-</v>
      </c>
      <c r="H59" s="323" t="str">
        <f t="shared" si="8"/>
        <v>-</v>
      </c>
      <c r="I59" s="323" t="str">
        <f t="shared" si="8"/>
        <v>-</v>
      </c>
      <c r="J59" s="323" t="str">
        <f t="shared" si="8"/>
        <v>-</v>
      </c>
      <c r="K59" s="323" t="str">
        <f t="shared" si="8"/>
        <v>-</v>
      </c>
      <c r="L59" s="323" t="str">
        <f t="shared" si="8"/>
        <v>-</v>
      </c>
      <c r="M59" s="316" t="str">
        <f t="shared" si="8"/>
        <v>-</v>
      </c>
    </row>
    <row r="60" spans="2:13" s="9" customFormat="1" ht="15.75" customHeight="1" thickBot="1">
      <c r="B60" s="81"/>
      <c r="C60" s="81"/>
      <c r="D60" s="324"/>
      <c r="E60" s="324"/>
      <c r="F60" s="324"/>
      <c r="G60" s="324"/>
      <c r="H60" s="324"/>
      <c r="I60" s="324"/>
      <c r="J60" s="324"/>
      <c r="K60" s="324"/>
      <c r="L60" s="324"/>
      <c r="M60" s="324"/>
    </row>
    <row r="61" spans="2:13" s="9" customFormat="1">
      <c r="B61" s="1491" t="s">
        <v>194</v>
      </c>
      <c r="C61" s="1492"/>
      <c r="D61" s="317" t="e">
        <f t="shared" ref="D61:M61" si="9">D26</f>
        <v>#VALUE!</v>
      </c>
      <c r="E61" s="317" t="e">
        <f t="shared" si="9"/>
        <v>#VALUE!</v>
      </c>
      <c r="F61" s="317" t="e">
        <f t="shared" si="9"/>
        <v>#VALUE!</v>
      </c>
      <c r="G61" s="317" t="e">
        <f t="shared" si="9"/>
        <v>#VALUE!</v>
      </c>
      <c r="H61" s="317" t="e">
        <f t="shared" si="9"/>
        <v>#VALUE!</v>
      </c>
      <c r="I61" s="317" t="e">
        <f t="shared" si="9"/>
        <v>#VALUE!</v>
      </c>
      <c r="J61" s="317" t="e">
        <f t="shared" si="9"/>
        <v>#VALUE!</v>
      </c>
      <c r="K61" s="317" t="e">
        <f t="shared" si="9"/>
        <v>#VALUE!</v>
      </c>
      <c r="L61" s="317" t="e">
        <f t="shared" si="9"/>
        <v>#VALUE!</v>
      </c>
      <c r="M61" s="318" t="e">
        <f t="shared" si="9"/>
        <v>#VALUE!</v>
      </c>
    </row>
    <row r="62" spans="2:13" s="9" customFormat="1" ht="15.75" thickBot="1">
      <c r="B62" s="1495" t="s">
        <v>195</v>
      </c>
      <c r="C62" s="1496"/>
      <c r="D62" s="326"/>
      <c r="E62" s="326"/>
      <c r="F62" s="326"/>
      <c r="G62" s="326"/>
      <c r="H62" s="326"/>
      <c r="I62" s="326"/>
      <c r="J62" s="326"/>
      <c r="K62" s="326"/>
      <c r="L62" s="326"/>
      <c r="M62" s="327"/>
    </row>
    <row r="63" spans="2:13" s="9" customFormat="1" ht="15.75" customHeight="1" thickBot="1">
      <c r="B63" s="59"/>
      <c r="C63" s="59"/>
      <c r="D63" s="325"/>
      <c r="E63" s="325"/>
      <c r="F63" s="325"/>
      <c r="G63" s="325"/>
      <c r="H63" s="325"/>
      <c r="I63" s="325"/>
      <c r="J63" s="325"/>
      <c r="K63" s="325"/>
      <c r="L63" s="325"/>
      <c r="M63" s="325"/>
    </row>
    <row r="64" spans="2:13" s="9" customFormat="1" ht="15.75" customHeight="1">
      <c r="B64" s="194" t="s">
        <v>191</v>
      </c>
      <c r="C64" s="198" t="s">
        <v>192</v>
      </c>
      <c r="D64" s="541">
        <f t="shared" ref="D64:M64" si="10">D45</f>
        <v>0</v>
      </c>
      <c r="E64" s="541">
        <f t="shared" si="10"/>
        <v>0</v>
      </c>
      <c r="F64" s="541">
        <f t="shared" si="10"/>
        <v>0</v>
      </c>
      <c r="G64" s="541">
        <f t="shared" si="10"/>
        <v>0</v>
      </c>
      <c r="H64" s="541">
        <f t="shared" si="10"/>
        <v>0</v>
      </c>
      <c r="I64" s="541">
        <f t="shared" si="10"/>
        <v>0</v>
      </c>
      <c r="J64" s="541">
        <f t="shared" si="10"/>
        <v>0</v>
      </c>
      <c r="K64" s="541">
        <f t="shared" si="10"/>
        <v>0</v>
      </c>
      <c r="L64" s="541">
        <f t="shared" si="10"/>
        <v>0</v>
      </c>
      <c r="M64" s="563">
        <f t="shared" si="10"/>
        <v>0</v>
      </c>
    </row>
    <row r="65" spans="2:13" s="9" customFormat="1" ht="15.75" customHeight="1" thickBot="1">
      <c r="B65" s="195"/>
      <c r="C65" s="196" t="s">
        <v>193</v>
      </c>
      <c r="D65" s="545" t="e">
        <f t="shared" ref="D65:M65" si="11">IF(AND(OR(D57&gt;0,D57&lt;0),AND(OR(D62&gt;D61,D62&lt;D61),D62&lt;&gt;0)),D64+((D57*(D61-D59))+((D62-D61)*D9)),IF(AND(OR(D57&gt;0,D57&lt;0),D62=0),D64+(D57*(D61-D59)),IF(AND(AND(OR(D62&gt;D61,D62&lt;D61),D62&lt;&gt;0),AND(D57=0,D58=0)),D64+((D62-D61)*D9),"-")))</f>
        <v>#VALUE!</v>
      </c>
      <c r="E65" s="545" t="e">
        <f t="shared" si="11"/>
        <v>#VALUE!</v>
      </c>
      <c r="F65" s="545" t="e">
        <f t="shared" si="11"/>
        <v>#VALUE!</v>
      </c>
      <c r="G65" s="545" t="e">
        <f t="shared" si="11"/>
        <v>#VALUE!</v>
      </c>
      <c r="H65" s="545" t="e">
        <f t="shared" si="11"/>
        <v>#VALUE!</v>
      </c>
      <c r="I65" s="545" t="e">
        <f t="shared" si="11"/>
        <v>#VALUE!</v>
      </c>
      <c r="J65" s="545" t="e">
        <f t="shared" si="11"/>
        <v>#VALUE!</v>
      </c>
      <c r="K65" s="545" t="e">
        <f t="shared" si="11"/>
        <v>#VALUE!</v>
      </c>
      <c r="L65" s="545" t="e">
        <f t="shared" si="11"/>
        <v>#VALUE!</v>
      </c>
      <c r="M65" s="562" t="e">
        <f t="shared" si="11"/>
        <v>#VALUE!</v>
      </c>
    </row>
    <row r="66" spans="2:13" s="9" customFormat="1" ht="15.75" customHeight="1">
      <c r="B66" s="81"/>
      <c r="C66" s="197"/>
      <c r="D66" s="190"/>
      <c r="E66" s="190"/>
      <c r="F66" s="190"/>
      <c r="G66" s="190"/>
      <c r="H66" s="190"/>
      <c r="I66" s="190"/>
      <c r="J66" s="190"/>
      <c r="K66" s="190"/>
      <c r="L66" s="190"/>
      <c r="M66" s="190"/>
    </row>
  </sheetData>
  <mergeCells count="34">
    <mergeCell ref="B17:C17"/>
    <mergeCell ref="B15:C15"/>
    <mergeCell ref="L2:P2"/>
    <mergeCell ref="N42:N43"/>
    <mergeCell ref="B12:M12"/>
    <mergeCell ref="B9:C9"/>
    <mergeCell ref="B11:C11"/>
    <mergeCell ref="B13:C13"/>
    <mergeCell ref="B21:C21"/>
    <mergeCell ref="B22:C22"/>
    <mergeCell ref="B23:C23"/>
    <mergeCell ref="B24:C24"/>
    <mergeCell ref="B26:C26"/>
    <mergeCell ref="B29:C29"/>
    <mergeCell ref="B31:C31"/>
    <mergeCell ref="B33:C33"/>
    <mergeCell ref="B34:C34"/>
    <mergeCell ref="B35:C35"/>
    <mergeCell ref="B36:C36"/>
    <mergeCell ref="B37:C37"/>
    <mergeCell ref="B38:C38"/>
    <mergeCell ref="B39:C39"/>
    <mergeCell ref="B42:C42"/>
    <mergeCell ref="B44:C44"/>
    <mergeCell ref="B45:C45"/>
    <mergeCell ref="B48:C48"/>
    <mergeCell ref="B50:C50"/>
    <mergeCell ref="B51:C51"/>
    <mergeCell ref="B61:C61"/>
    <mergeCell ref="B62:C62"/>
    <mergeCell ref="B57:C57"/>
    <mergeCell ref="B58:C58"/>
    <mergeCell ref="B54:E54"/>
    <mergeCell ref="B59:C59"/>
  </mergeCells>
  <pageMargins left="0.7" right="0.7" top="0.75" bottom="0.75" header="0.3" footer="0.3"/>
  <pageSetup paperSize="9" scale="53"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Important General Notice</vt:lpstr>
      <vt:lpstr>1. KEY DATA</vt:lpstr>
      <vt:lpstr>2. AWARDS</vt:lpstr>
      <vt:lpstr>3. Payroll</vt:lpstr>
      <vt:lpstr>4. Property</vt:lpstr>
      <vt:lpstr>5. Transport</vt:lpstr>
      <vt:lpstr>6. Direct OH</vt:lpstr>
      <vt:lpstr>7. Admin OH</vt:lpstr>
      <vt:lpstr>8. PROGRAM PRICING</vt:lpstr>
      <vt:lpstr>9. Accomm</vt:lpstr>
      <vt:lpstr>10. Health Professionals</vt:lpstr>
      <vt:lpstr>11. CLIENT PRICING SUMMARY</vt:lpstr>
      <vt:lpstr>12. Commercial &amp; Fundraising</vt:lpstr>
      <vt:lpstr>'Important General Notice'!_Toc323471029</vt:lpstr>
      <vt:lpstr>'12. Commercial &amp; Fundraising'!Print_Area</vt:lpstr>
      <vt:lpstr>'3. Payroll'!Print_Area</vt:lpstr>
      <vt:lpstr>'8. PROGRAM PRICING'!Print_Area</vt:lpstr>
      <vt:lpstr>'9. Accomm'!Print_Area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Jenny Winter</dc:creator>
  <cp:lastModifiedBy>Tim Flowers</cp:lastModifiedBy>
  <cp:lastPrinted>2013-02-04T04:51:21Z</cp:lastPrinted>
  <dcterms:created xsi:type="dcterms:W3CDTF">2012-03-28T05:26:50Z</dcterms:created>
  <dcterms:modified xsi:type="dcterms:W3CDTF">2013-02-04T09:22:54Z</dcterms:modified>
</cp:coreProperties>
</file>